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  <Override PartName="/xl/commentsmeta6" ContentType="application/binary"/>
  <Override PartName="/xl/commentsmeta7" ContentType="application/binary"/>
  <Override PartName="/xl/commentsmeta8" ContentType="application/binary"/>
  <Override PartName="/xl/commentsmeta9" ContentType="application/binary"/>
  <Override PartName="/xl/commentsmeta10" ContentType="application/binary"/>
  <Override PartName="/xl/commentsmeta11" ContentType="application/binary"/>
  <Override PartName="/xl/commentsmeta12" ContentType="application/binary"/>
  <Override PartName="/xl/commentsmeta13" ContentType="application/binary"/>
  <Override PartName="/xl/commentsmeta14" ContentType="application/binary"/>
  <Override PartName="/xl/commentsmeta15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leeanderegg/Dropbox/Sedgwick/SHIFT/Data_07192022/WP_WC/"/>
    </mc:Choice>
  </mc:AlternateContent>
  <xr:revisionPtr revIDLastSave="0" documentId="13_ncr:1_{5CE96DFA-86EC-D246-84A6-F3AA1A1E173D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Tree inventory" sheetId="1" r:id="rId1"/>
    <sheet name="Tree_Sites" sheetId="2" r:id="rId2"/>
    <sheet name="AlAs DATA" sheetId="3" r:id="rId3"/>
    <sheet name="LFM DATA" sheetId="4" r:id="rId4"/>
    <sheet name="RWC DATA" sheetId="5" r:id="rId5"/>
    <sheet name="Ks DATA" sheetId="6" r:id="rId6"/>
    <sheet name="PV DATA" sheetId="7" r:id="rId7"/>
    <sheet name="218-221 WP + LWC" sheetId="8" r:id="rId8"/>
    <sheet name="228 WP + LWC" sheetId="9" r:id="rId9"/>
    <sheet name="33-34 WP + LWC" sheetId="10" r:id="rId10"/>
    <sheet name="38-311 WP + LWC" sheetId="11" r:id="rId11"/>
    <sheet name="315 WP + LWC" sheetId="12" r:id="rId12"/>
    <sheet name="325-327 WP + LWC" sheetId="13" r:id="rId13"/>
    <sheet name="330 WP + LWC" sheetId="14" r:id="rId14"/>
    <sheet name="44 WP + LWC" sheetId="15" r:id="rId15"/>
    <sheet name="46 WP + LWC" sheetId="16" r:id="rId16"/>
    <sheet name="411-412 WP + LWC" sheetId="17" r:id="rId17"/>
    <sheet name="413-414 WP + LWC" sheetId="18" r:id="rId18"/>
    <sheet name="425 WP + LWC" sheetId="19" r:id="rId19"/>
    <sheet name="427 WP + LWC" sheetId="20" r:id="rId20"/>
    <sheet name="54 WP + LWC" sheetId="21" r:id="rId21"/>
    <sheet name="59 WP + LWC" sheetId="22" r:id="rId22"/>
    <sheet name="523 WP + LWC" sheetId="23" r:id="rId23"/>
    <sheet name="525 WP + LWC" sheetId="24" r:id="rId24"/>
    <sheet name="719 WP + LWC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9" roundtripDataSignature="AMtx7mhtqClcJhr8m+yjFN+P8iIsNgkTnQ=="/>
    </ext>
  </extLst>
</workbook>
</file>

<file path=xl/calcChain.xml><?xml version="1.0" encoding="utf-8"?>
<calcChain xmlns="http://schemas.openxmlformats.org/spreadsheetml/2006/main">
  <c r="BK152" i="23" l="1"/>
  <c r="BK151" i="23"/>
  <c r="BK150" i="23"/>
  <c r="BK149" i="23"/>
  <c r="BK148" i="23"/>
  <c r="BK147" i="23"/>
  <c r="BK146" i="23"/>
  <c r="BK145" i="23"/>
  <c r="BK144" i="23"/>
  <c r="BK143" i="23"/>
  <c r="BK142" i="23"/>
  <c r="BK141" i="23"/>
  <c r="BK140" i="23"/>
  <c r="BK139" i="23"/>
  <c r="BK138" i="23"/>
  <c r="BK137" i="23"/>
  <c r="BK136" i="23"/>
  <c r="BK135" i="23"/>
  <c r="BK134" i="23"/>
  <c r="BK133" i="23"/>
  <c r="BK132" i="23"/>
  <c r="BK131" i="23"/>
  <c r="BK130" i="23"/>
  <c r="BK129" i="23"/>
  <c r="BK128" i="23"/>
  <c r="BK127" i="23"/>
  <c r="BK126" i="23"/>
  <c r="BK125" i="23"/>
  <c r="BK124" i="23"/>
  <c r="BK123" i="23"/>
  <c r="BK122" i="23"/>
  <c r="BK121" i="23"/>
  <c r="BK120" i="23"/>
  <c r="BK119" i="23"/>
  <c r="BK118" i="23"/>
  <c r="BK117" i="23"/>
  <c r="BK116" i="23"/>
  <c r="BK115" i="23"/>
  <c r="BK114" i="23"/>
  <c r="BK113" i="23"/>
  <c r="BK112" i="23"/>
  <c r="BK111" i="23"/>
  <c r="BK110" i="23"/>
  <c r="BK109" i="23"/>
  <c r="BK108" i="23"/>
  <c r="BK107" i="23"/>
  <c r="BK106" i="23"/>
  <c r="BK105" i="23"/>
  <c r="BK104" i="23"/>
  <c r="BK103" i="23"/>
  <c r="BK102" i="23"/>
  <c r="BK101" i="23"/>
  <c r="BK100" i="23"/>
  <c r="BK99" i="23"/>
  <c r="BK98" i="23"/>
  <c r="BK97" i="23"/>
  <c r="BK96" i="23"/>
  <c r="BK95" i="23"/>
  <c r="BK94" i="23"/>
  <c r="BK93" i="23"/>
  <c r="BK92" i="23"/>
  <c r="BK91" i="23"/>
  <c r="BK90" i="23"/>
  <c r="BK89" i="23"/>
  <c r="BK88" i="23"/>
  <c r="BK87" i="23"/>
  <c r="BK86" i="23"/>
  <c r="BK85" i="23"/>
  <c r="BK84" i="23"/>
  <c r="BK83" i="23"/>
  <c r="BK82" i="23"/>
  <c r="BK81" i="23"/>
  <c r="BK80" i="23"/>
  <c r="BK79" i="23"/>
  <c r="BK78" i="23"/>
  <c r="BK77" i="23"/>
  <c r="BK76" i="23"/>
  <c r="BK75" i="23"/>
  <c r="BK74" i="23"/>
  <c r="BK73" i="23"/>
  <c r="BK72" i="23"/>
  <c r="BK71" i="23"/>
  <c r="BK70" i="23"/>
  <c r="BK69" i="23"/>
  <c r="BK68" i="23"/>
  <c r="BK67" i="23"/>
  <c r="BK66" i="23"/>
  <c r="BK65" i="23"/>
  <c r="BK64" i="23"/>
  <c r="BK63" i="23"/>
  <c r="BK62" i="23"/>
  <c r="BK61" i="23"/>
  <c r="BK60" i="23"/>
  <c r="BK59" i="23"/>
  <c r="BK58" i="23"/>
  <c r="BK57" i="23"/>
  <c r="BK56" i="23"/>
  <c r="BK55" i="23"/>
  <c r="BK54" i="23"/>
  <c r="BK53" i="23"/>
  <c r="BK52" i="23"/>
  <c r="BK51" i="23"/>
  <c r="BK50" i="23"/>
  <c r="BK49" i="23"/>
  <c r="BK48" i="23"/>
  <c r="BK47" i="23"/>
  <c r="BK46" i="23"/>
  <c r="BK45" i="23"/>
  <c r="BK44" i="23"/>
  <c r="BK43" i="23"/>
  <c r="BK42" i="23"/>
  <c r="BK41" i="23"/>
  <c r="BK40" i="23"/>
  <c r="BK39" i="23"/>
  <c r="BK38" i="23"/>
  <c r="BK37" i="23"/>
  <c r="BK36" i="23"/>
  <c r="BK35" i="23"/>
  <c r="BK34" i="23"/>
  <c r="BK33" i="23"/>
  <c r="BK32" i="23"/>
  <c r="BK31" i="23"/>
  <c r="BK30" i="23"/>
  <c r="BK29" i="23"/>
  <c r="BK28" i="23"/>
  <c r="BK27" i="23"/>
  <c r="BK26" i="23"/>
  <c r="BK25" i="23"/>
  <c r="BK24" i="23"/>
  <c r="BK23" i="23"/>
  <c r="BK22" i="23"/>
  <c r="BK21" i="23"/>
  <c r="BK20" i="23"/>
  <c r="BK19" i="23"/>
  <c r="BK18" i="23"/>
  <c r="BK17" i="23"/>
  <c r="BK16" i="23"/>
  <c r="BK15" i="23"/>
  <c r="BK14" i="23"/>
  <c r="BK13" i="23"/>
  <c r="BK12" i="23"/>
  <c r="BK11" i="23"/>
  <c r="BK10" i="23"/>
  <c r="BK9" i="23"/>
  <c r="BK8" i="23"/>
  <c r="BK7" i="23"/>
  <c r="BE140" i="22"/>
  <c r="BG151" i="21"/>
  <c r="BG150" i="21"/>
  <c r="BG149" i="21"/>
  <c r="BG148" i="21"/>
  <c r="BG147" i="21"/>
  <c r="BG146" i="21"/>
  <c r="BG145" i="21"/>
  <c r="BG144" i="21"/>
  <c r="BG143" i="21"/>
  <c r="BG142" i="21"/>
  <c r="BG141" i="21"/>
  <c r="BG140" i="21"/>
  <c r="BG139" i="21"/>
  <c r="BG138" i="21"/>
  <c r="BG137" i="21"/>
  <c r="BG136" i="21"/>
  <c r="BG135" i="21"/>
  <c r="BG134" i="21"/>
  <c r="BG133" i="21"/>
  <c r="BG132" i="21"/>
  <c r="BG131" i="21"/>
  <c r="BG130" i="21"/>
  <c r="BG129" i="21"/>
  <c r="BG128" i="21"/>
  <c r="BG127" i="21"/>
  <c r="BG126" i="21"/>
  <c r="BG125" i="21"/>
  <c r="BG124" i="21"/>
  <c r="BG123" i="21"/>
  <c r="BG122" i="21"/>
  <c r="BG121" i="21"/>
  <c r="BG120" i="21"/>
  <c r="BG119" i="21"/>
  <c r="BG118" i="21"/>
  <c r="BG117" i="21"/>
  <c r="BG116" i="21"/>
  <c r="BG115" i="21"/>
  <c r="BG114" i="21"/>
  <c r="BG113" i="21"/>
  <c r="BG112" i="21"/>
  <c r="BG111" i="21"/>
  <c r="BG110" i="21"/>
  <c r="BG109" i="21"/>
  <c r="BG108" i="21"/>
  <c r="BG107" i="21"/>
  <c r="BG106" i="21"/>
  <c r="BG105" i="21"/>
  <c r="BG104" i="21"/>
  <c r="BG103" i="21"/>
  <c r="BG102" i="21"/>
  <c r="BG101" i="21"/>
  <c r="BG100" i="21"/>
  <c r="BG99" i="21"/>
  <c r="BG98" i="21"/>
  <c r="BG97" i="21"/>
  <c r="BG96" i="21"/>
  <c r="BG95" i="21"/>
  <c r="BG94" i="21"/>
  <c r="BG93" i="21"/>
  <c r="BG92" i="21"/>
  <c r="BG91" i="21"/>
  <c r="BG90" i="21"/>
  <c r="BG89" i="21"/>
  <c r="BG88" i="21"/>
  <c r="BG87" i="21"/>
  <c r="BG86" i="21"/>
  <c r="BG85" i="21"/>
  <c r="BG84" i="21"/>
  <c r="BG83" i="21"/>
  <c r="BG82" i="21"/>
  <c r="BG81" i="21"/>
  <c r="BG80" i="21"/>
  <c r="BG79" i="21"/>
  <c r="BG78" i="21"/>
  <c r="BG77" i="21"/>
  <c r="BG76" i="21"/>
  <c r="BG75" i="21"/>
  <c r="BG74" i="21"/>
  <c r="BG73" i="21"/>
  <c r="BG72" i="21"/>
  <c r="BG71" i="21"/>
  <c r="BG70" i="21"/>
  <c r="BG69" i="21"/>
  <c r="BG68" i="21"/>
  <c r="BG67" i="21"/>
  <c r="BG66" i="21"/>
  <c r="BG65" i="21"/>
  <c r="BG64" i="21"/>
  <c r="BG63" i="21"/>
  <c r="BG62" i="21"/>
  <c r="BG61" i="21"/>
  <c r="BG60" i="21"/>
  <c r="BG59" i="21"/>
  <c r="BG58" i="21"/>
  <c r="BG57" i="21"/>
  <c r="BG56" i="21"/>
  <c r="BG55" i="21"/>
  <c r="BG54" i="21"/>
  <c r="BG53" i="21"/>
  <c r="BG52" i="21"/>
  <c r="BG51" i="21"/>
  <c r="BG50" i="21"/>
  <c r="BG49" i="21"/>
  <c r="BG48" i="21"/>
  <c r="BG47" i="21"/>
  <c r="BG46" i="21"/>
  <c r="BG45" i="21"/>
  <c r="BG44" i="21"/>
  <c r="BG43" i="21"/>
  <c r="BG42" i="21"/>
  <c r="BG41" i="21"/>
  <c r="BG40" i="21"/>
  <c r="BG39" i="21"/>
  <c r="BG38" i="21"/>
  <c r="BG37" i="21"/>
  <c r="BG36" i="21"/>
  <c r="BG35" i="21"/>
  <c r="BG34" i="21"/>
  <c r="BG33" i="21"/>
  <c r="BG32" i="21"/>
  <c r="BG31" i="21"/>
  <c r="BG30" i="21"/>
  <c r="BG29" i="21"/>
  <c r="BG28" i="21"/>
  <c r="BG27" i="21"/>
  <c r="BG26" i="21"/>
  <c r="BG25" i="21"/>
  <c r="BG24" i="21"/>
  <c r="BG23" i="21"/>
  <c r="BG22" i="21"/>
  <c r="BG21" i="21"/>
  <c r="BG20" i="21"/>
  <c r="BG19" i="21"/>
  <c r="BG18" i="21"/>
  <c r="BG17" i="21"/>
  <c r="BG16" i="21"/>
  <c r="BG15" i="21"/>
  <c r="BG14" i="21"/>
  <c r="BG13" i="21"/>
  <c r="BG12" i="21"/>
  <c r="BG11" i="21"/>
  <c r="BG10" i="21"/>
  <c r="BG9" i="21"/>
  <c r="BG8" i="21"/>
  <c r="BG7" i="21"/>
  <c r="BG24" i="19"/>
  <c r="AV124" i="17"/>
  <c r="AG32" i="14"/>
  <c r="J27" i="14"/>
  <c r="BG136" i="12"/>
  <c r="AI136" i="12"/>
  <c r="BG135" i="12"/>
  <c r="AI135" i="12"/>
  <c r="BG134" i="12"/>
  <c r="AI134" i="12"/>
  <c r="BG133" i="12"/>
  <c r="AI133" i="12"/>
  <c r="BG132" i="12"/>
  <c r="AI132" i="12"/>
  <c r="BG131" i="12"/>
  <c r="AI131" i="12"/>
  <c r="BG130" i="12"/>
  <c r="AI130" i="12"/>
  <c r="BG129" i="12"/>
  <c r="AI129" i="12"/>
  <c r="BG128" i="12"/>
  <c r="AI128" i="12"/>
  <c r="BG127" i="12"/>
  <c r="AI127" i="12"/>
  <c r="BG126" i="12"/>
  <c r="AI126" i="12"/>
  <c r="BG125" i="12"/>
  <c r="AI125" i="12"/>
  <c r="BG124" i="12"/>
  <c r="AI124" i="12"/>
  <c r="BG123" i="12"/>
  <c r="AI123" i="12"/>
  <c r="BG122" i="12"/>
  <c r="AI122" i="12"/>
  <c r="BG121" i="12"/>
  <c r="AI121" i="12"/>
  <c r="BG120" i="12"/>
  <c r="AI120" i="12"/>
  <c r="BG119" i="12"/>
  <c r="AI119" i="12"/>
  <c r="BG118" i="12"/>
  <c r="AI118" i="12"/>
  <c r="BG117" i="12"/>
  <c r="AI117" i="12"/>
  <c r="BG116" i="12"/>
  <c r="AI116" i="12"/>
  <c r="BG115" i="12"/>
  <c r="AI115" i="12"/>
  <c r="BG114" i="12"/>
  <c r="AI114" i="12"/>
  <c r="BG113" i="12"/>
  <c r="AI113" i="12"/>
  <c r="BG112" i="12"/>
  <c r="AI112" i="12"/>
  <c r="BG111" i="12"/>
  <c r="AI111" i="12"/>
  <c r="BG110" i="12"/>
  <c r="AI110" i="12"/>
  <c r="BG109" i="12"/>
  <c r="AI109" i="12"/>
  <c r="BG108" i="12"/>
  <c r="AI108" i="12"/>
  <c r="BG107" i="12"/>
  <c r="AS107" i="12"/>
  <c r="AI107" i="12"/>
  <c r="BG106" i="12"/>
  <c r="AI106" i="12"/>
  <c r="BG105" i="12"/>
  <c r="AI105" i="12"/>
  <c r="BG104" i="12"/>
  <c r="AI104" i="12"/>
  <c r="BG103" i="12"/>
  <c r="AI103" i="12"/>
  <c r="BG102" i="12"/>
  <c r="AI102" i="12"/>
  <c r="BG101" i="12"/>
  <c r="AI101" i="12"/>
  <c r="BG100" i="12"/>
  <c r="AI100" i="12"/>
  <c r="BG99" i="12"/>
  <c r="AI99" i="12"/>
  <c r="BG98" i="12"/>
  <c r="AI98" i="12"/>
  <c r="BG97" i="12"/>
  <c r="AI97" i="12"/>
  <c r="BG96" i="12"/>
  <c r="AI96" i="12"/>
  <c r="BG95" i="12"/>
  <c r="AI95" i="12"/>
  <c r="BG94" i="12"/>
  <c r="AI94" i="12"/>
  <c r="BG93" i="12"/>
  <c r="AI93" i="12"/>
  <c r="BG92" i="12"/>
  <c r="AI92" i="12"/>
  <c r="BG91" i="12"/>
  <c r="AI91" i="12"/>
  <c r="BG90" i="12"/>
  <c r="AI90" i="12"/>
  <c r="BG89" i="12"/>
  <c r="AI89" i="12"/>
  <c r="BG88" i="12"/>
  <c r="AI88" i="12"/>
  <c r="BG87" i="12"/>
  <c r="AI87" i="12"/>
  <c r="BG86" i="12"/>
  <c r="AI86" i="12"/>
  <c r="BG85" i="12"/>
  <c r="AI85" i="12"/>
  <c r="BG84" i="12"/>
  <c r="AI84" i="12"/>
  <c r="BG83" i="12"/>
  <c r="AI83" i="12"/>
  <c r="BG82" i="12"/>
  <c r="AI82" i="12"/>
  <c r="BG81" i="12"/>
  <c r="AI81" i="12"/>
  <c r="BG80" i="12"/>
  <c r="AI80" i="12"/>
  <c r="BG79" i="12"/>
  <c r="AI79" i="12"/>
  <c r="BG78" i="12"/>
  <c r="AI78" i="12"/>
  <c r="BG77" i="12"/>
  <c r="AI77" i="12"/>
  <c r="BG76" i="12"/>
  <c r="AI76" i="12"/>
  <c r="BG75" i="12"/>
  <c r="AI75" i="12"/>
  <c r="BG74" i="12"/>
  <c r="AI74" i="12"/>
  <c r="BG73" i="12"/>
  <c r="AI73" i="12"/>
  <c r="BG72" i="12"/>
  <c r="AI72" i="12"/>
  <c r="BG71" i="12"/>
  <c r="AI71" i="12"/>
  <c r="BG70" i="12"/>
  <c r="AI70" i="12"/>
  <c r="BG69" i="12"/>
  <c r="AI69" i="12"/>
  <c r="BG68" i="12"/>
  <c r="AI68" i="12"/>
  <c r="BG67" i="12"/>
  <c r="AI67" i="12"/>
  <c r="BG66" i="12"/>
  <c r="AI66" i="12"/>
  <c r="BG65" i="12"/>
  <c r="AI65" i="12"/>
  <c r="BG64" i="12"/>
  <c r="AI64" i="12"/>
  <c r="BG63" i="12"/>
  <c r="AI63" i="12"/>
  <c r="BG62" i="12"/>
  <c r="AI62" i="12"/>
  <c r="BG61" i="12"/>
  <c r="AI61" i="12"/>
  <c r="BG60" i="12"/>
  <c r="AI60" i="12"/>
  <c r="BG59" i="12"/>
  <c r="AI59" i="12"/>
  <c r="BG58" i="12"/>
  <c r="AI58" i="12"/>
  <c r="BG57" i="12"/>
  <c r="AI57" i="12"/>
  <c r="BG56" i="12"/>
  <c r="AI56" i="12"/>
  <c r="BG55" i="12"/>
  <c r="AI55" i="12"/>
  <c r="BG54" i="12"/>
  <c r="AI54" i="12"/>
  <c r="BG53" i="12"/>
  <c r="AI53" i="12"/>
  <c r="BG52" i="12"/>
  <c r="AI52" i="12"/>
  <c r="BG51" i="12"/>
  <c r="AI51" i="12"/>
  <c r="BG50" i="12"/>
  <c r="AI50" i="12"/>
  <c r="BG49" i="12"/>
  <c r="AI49" i="12"/>
  <c r="BG48" i="12"/>
  <c r="AI48" i="12"/>
  <c r="BG47" i="12"/>
  <c r="AI47" i="12"/>
  <c r="BG46" i="12"/>
  <c r="AI46" i="12"/>
  <c r="BG45" i="12"/>
  <c r="AI45" i="12"/>
  <c r="BG44" i="12"/>
  <c r="AI44" i="12"/>
  <c r="BG43" i="12"/>
  <c r="AI43" i="12"/>
  <c r="BG42" i="12"/>
  <c r="AI42" i="12"/>
  <c r="BG41" i="12"/>
  <c r="AI41" i="12"/>
  <c r="BG40" i="12"/>
  <c r="AI40" i="12"/>
  <c r="BG39" i="12"/>
  <c r="AI39" i="12"/>
  <c r="BG38" i="12"/>
  <c r="AI38" i="12"/>
  <c r="BG37" i="12"/>
  <c r="AI37" i="12"/>
  <c r="BG36" i="12"/>
  <c r="AI36" i="12"/>
  <c r="BG35" i="12"/>
  <c r="AI35" i="12"/>
  <c r="BG34" i="12"/>
  <c r="AI34" i="12"/>
  <c r="BG33" i="12"/>
  <c r="AI33" i="12"/>
  <c r="BG32" i="12"/>
  <c r="AI32" i="12"/>
  <c r="BG31" i="12"/>
  <c r="AI31" i="12"/>
  <c r="BG30" i="12"/>
  <c r="AI30" i="12"/>
  <c r="BG29" i="12"/>
  <c r="AI29" i="12"/>
  <c r="BG28" i="12"/>
  <c r="AI28" i="12"/>
  <c r="BE27" i="12"/>
  <c r="AM27" i="12"/>
  <c r="BG27" i="12" s="1"/>
  <c r="AI27" i="12"/>
  <c r="BG26" i="12"/>
  <c r="AI26" i="12"/>
  <c r="BG25" i="12"/>
  <c r="AI25" i="12"/>
  <c r="BG24" i="12"/>
  <c r="L24" i="12"/>
  <c r="AI24" i="12" s="1"/>
  <c r="BG23" i="12"/>
  <c r="AI23" i="12"/>
  <c r="BG22" i="12"/>
  <c r="AI22" i="12"/>
  <c r="BG21" i="12"/>
  <c r="AI21" i="12"/>
  <c r="BG20" i="12"/>
  <c r="AI20" i="12"/>
  <c r="BG19" i="12"/>
  <c r="AI19" i="12"/>
  <c r="BG18" i="12"/>
  <c r="AI18" i="12"/>
  <c r="BG17" i="12"/>
  <c r="AI17" i="12"/>
  <c r="BG16" i="12"/>
  <c r="AI16" i="12"/>
  <c r="BG15" i="12"/>
  <c r="AI15" i="12"/>
  <c r="BG14" i="12"/>
  <c r="AI14" i="12"/>
  <c r="BG13" i="12"/>
  <c r="AI13" i="12"/>
  <c r="BG12" i="12"/>
  <c r="AI12" i="12"/>
  <c r="BG11" i="12"/>
  <c r="AI11" i="12"/>
  <c r="BG10" i="12"/>
  <c r="AI10" i="12"/>
  <c r="BG9" i="12"/>
  <c r="AI9" i="12"/>
  <c r="BG8" i="12"/>
  <c r="AI8" i="12"/>
  <c r="BG7" i="12"/>
  <c r="AI7" i="12"/>
  <c r="BE134" i="11"/>
  <c r="BE32" i="11"/>
  <c r="AH30" i="11"/>
  <c r="AG30" i="11"/>
  <c r="BA112" i="9"/>
  <c r="AC112" i="9"/>
  <c r="BA111" i="9"/>
  <c r="AC111" i="9"/>
  <c r="BA110" i="9"/>
  <c r="AC110" i="9"/>
  <c r="BA109" i="9"/>
  <c r="AC109" i="9"/>
  <c r="BA108" i="9"/>
  <c r="AC108" i="9"/>
  <c r="BA107" i="9"/>
  <c r="AC107" i="9"/>
  <c r="BA106" i="9"/>
  <c r="AC106" i="9"/>
  <c r="BA105" i="9"/>
  <c r="AC105" i="9"/>
  <c r="BA104" i="9"/>
  <c r="AC104" i="9"/>
  <c r="BA103" i="9"/>
  <c r="AC103" i="9"/>
  <c r="BA102" i="9"/>
  <c r="AC102" i="9"/>
  <c r="BA101" i="9"/>
  <c r="AC101" i="9"/>
  <c r="BA100" i="9"/>
  <c r="AC100" i="9"/>
  <c r="BA99" i="9"/>
  <c r="AC99" i="9"/>
  <c r="BA98" i="9"/>
  <c r="AC98" i="9"/>
  <c r="BA97" i="9"/>
  <c r="AC97" i="9"/>
  <c r="BA96" i="9"/>
  <c r="AC96" i="9"/>
  <c r="BA95" i="9"/>
  <c r="AC95" i="9"/>
  <c r="BA94" i="9"/>
  <c r="AC94" i="9"/>
  <c r="BA93" i="9"/>
  <c r="AC93" i="9"/>
  <c r="BA92" i="9"/>
  <c r="AC92" i="9"/>
  <c r="BA91" i="9"/>
  <c r="AC91" i="9"/>
  <c r="BA90" i="9"/>
  <c r="AC90" i="9"/>
  <c r="BA89" i="9"/>
  <c r="AC89" i="9"/>
  <c r="BA88" i="9"/>
  <c r="AC88" i="9"/>
  <c r="BA87" i="9"/>
  <c r="AC87" i="9"/>
  <c r="BA86" i="9"/>
  <c r="AC86" i="9"/>
  <c r="BA85" i="9"/>
  <c r="AC85" i="9"/>
  <c r="BA84" i="9"/>
  <c r="AC84" i="9"/>
  <c r="BA83" i="9"/>
  <c r="AC83" i="9"/>
  <c r="BA82" i="9"/>
  <c r="AC82" i="9"/>
  <c r="BA81" i="9"/>
  <c r="AC81" i="9"/>
  <c r="BA80" i="9"/>
  <c r="AC80" i="9"/>
  <c r="BA79" i="9"/>
  <c r="AC79" i="9"/>
  <c r="BA78" i="9"/>
  <c r="AC78" i="9"/>
  <c r="BA77" i="9"/>
  <c r="AC77" i="9"/>
  <c r="BA76" i="9"/>
  <c r="AC76" i="9"/>
  <c r="BA75" i="9"/>
  <c r="AC75" i="9"/>
  <c r="BA74" i="9"/>
  <c r="AC74" i="9"/>
  <c r="BA73" i="9"/>
  <c r="AC73" i="9"/>
  <c r="BA72" i="9"/>
  <c r="AC72" i="9"/>
  <c r="BA71" i="9"/>
  <c r="AC71" i="9"/>
  <c r="BA70" i="9"/>
  <c r="AC70" i="9"/>
  <c r="BA69" i="9"/>
  <c r="AC69" i="9"/>
  <c r="BA68" i="9"/>
  <c r="AC68" i="9"/>
  <c r="BA67" i="9"/>
  <c r="AC67" i="9"/>
  <c r="BA66" i="9"/>
  <c r="AC66" i="9"/>
  <c r="BA65" i="9"/>
  <c r="AC65" i="9"/>
  <c r="BA64" i="9"/>
  <c r="AC64" i="9"/>
  <c r="BA63" i="9"/>
  <c r="AC63" i="9"/>
  <c r="BA62" i="9"/>
  <c r="AC62" i="9"/>
  <c r="BA61" i="9"/>
  <c r="AC61" i="9"/>
  <c r="BA60" i="9"/>
  <c r="AC60" i="9"/>
  <c r="BA59" i="9"/>
  <c r="AC59" i="9"/>
  <c r="BA58" i="9"/>
  <c r="AC58" i="9"/>
  <c r="BA57" i="9"/>
  <c r="AC57" i="9"/>
  <c r="Q57" i="9"/>
  <c r="N57" i="9"/>
  <c r="BA56" i="9"/>
  <c r="AC56" i="9"/>
  <c r="BA55" i="9"/>
  <c r="AC55" i="9"/>
  <c r="BA54" i="9"/>
  <c r="AC54" i="9"/>
  <c r="BA53" i="9"/>
  <c r="AC53" i="9"/>
  <c r="BA52" i="9"/>
  <c r="AC52" i="9"/>
  <c r="BA51" i="9"/>
  <c r="AC51" i="9"/>
  <c r="BA50" i="9"/>
  <c r="AC50" i="9"/>
  <c r="BA49" i="9"/>
  <c r="AC49" i="9"/>
  <c r="BA48" i="9"/>
  <c r="W48" i="9"/>
  <c r="T48" i="9"/>
  <c r="N48" i="9"/>
  <c r="K48" i="9"/>
  <c r="AC48" i="9" s="1"/>
  <c r="BA47" i="9"/>
  <c r="N47" i="9"/>
  <c r="K47" i="9"/>
  <c r="AC47" i="9" s="1"/>
  <c r="BA46" i="9"/>
  <c r="AC46" i="9"/>
  <c r="BA45" i="9"/>
  <c r="AC45" i="9"/>
  <c r="BA44" i="9"/>
  <c r="AC44" i="9"/>
  <c r="BA43" i="9"/>
  <c r="AC43" i="9"/>
  <c r="BA42" i="9"/>
  <c r="AC42" i="9"/>
  <c r="BA41" i="9"/>
  <c r="AC41" i="9"/>
  <c r="BA40" i="9"/>
  <c r="AC40" i="9"/>
  <c r="BA39" i="9"/>
  <c r="AC39" i="9"/>
  <c r="BA38" i="9"/>
  <c r="AC38" i="9"/>
  <c r="BA37" i="9"/>
  <c r="AC37" i="9"/>
  <c r="BA36" i="9"/>
  <c r="AC36" i="9"/>
  <c r="BA35" i="9"/>
  <c r="AC35" i="9"/>
  <c r="BA34" i="9"/>
  <c r="AC34" i="9"/>
  <c r="BA33" i="9"/>
  <c r="AC33" i="9"/>
  <c r="BA32" i="9"/>
  <c r="AC32" i="9"/>
  <c r="BA31" i="9"/>
  <c r="AP31" i="9"/>
  <c r="AJ31" i="9"/>
  <c r="AC31" i="9"/>
  <c r="BA30" i="9"/>
  <c r="AC30" i="9"/>
  <c r="BA29" i="9"/>
  <c r="AC29" i="9"/>
  <c r="BA28" i="9"/>
  <c r="AC28" i="9"/>
  <c r="BA27" i="9"/>
  <c r="AC27" i="9"/>
  <c r="BA26" i="9"/>
  <c r="AC26" i="9"/>
  <c r="BA25" i="9"/>
  <c r="AC25" i="9"/>
  <c r="BA24" i="9"/>
  <c r="AC24" i="9"/>
  <c r="BA23" i="9"/>
  <c r="AC23" i="9"/>
  <c r="BA22" i="9"/>
  <c r="AC22" i="9"/>
  <c r="BA21" i="9"/>
  <c r="AC21" i="9"/>
  <c r="BA20" i="9"/>
  <c r="AC20" i="9"/>
  <c r="BA19" i="9"/>
  <c r="AC19" i="9"/>
  <c r="BA18" i="9"/>
  <c r="AC18" i="9"/>
  <c r="BA17" i="9"/>
  <c r="AC17" i="9"/>
  <c r="BA16" i="9"/>
  <c r="AC16" i="9"/>
  <c r="BA15" i="9"/>
  <c r="AC15" i="9"/>
  <c r="BA14" i="9"/>
  <c r="AC14" i="9"/>
  <c r="BA13" i="9"/>
  <c r="AC13" i="9"/>
  <c r="BA12" i="9"/>
  <c r="AC12" i="9"/>
  <c r="BA11" i="9"/>
  <c r="AC11" i="9"/>
  <c r="BA10" i="9"/>
  <c r="AC10" i="9"/>
  <c r="BA9" i="9"/>
  <c r="AC9" i="9"/>
  <c r="BA8" i="9"/>
  <c r="AC8" i="9"/>
  <c r="BA7" i="9"/>
  <c r="AC7" i="9"/>
  <c r="D34" i="7"/>
  <c r="D33" i="7"/>
  <c r="D32" i="7"/>
  <c r="D30" i="7"/>
  <c r="D29" i="7"/>
  <c r="D28" i="7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F1332" i="5"/>
  <c r="I1332" i="5" s="1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K1531" i="4"/>
  <c r="K1530" i="4"/>
  <c r="K1529" i="4"/>
  <c r="K1528" i="4"/>
  <c r="K1527" i="4"/>
  <c r="K1526" i="4"/>
  <c r="F1526" i="4"/>
  <c r="K1525" i="4"/>
  <c r="F1525" i="4"/>
  <c r="K1524" i="4"/>
  <c r="F1524" i="4"/>
  <c r="K1523" i="4"/>
  <c r="F1523" i="4"/>
  <c r="K1522" i="4"/>
  <c r="F1522" i="4"/>
  <c r="K1521" i="4"/>
  <c r="F1521" i="4"/>
  <c r="K1520" i="4"/>
  <c r="F1520" i="4"/>
  <c r="K1519" i="4"/>
  <c r="F1519" i="4"/>
  <c r="K1518" i="4"/>
  <c r="F1518" i="4"/>
  <c r="K1517" i="4"/>
  <c r="F1517" i="4"/>
  <c r="K1516" i="4"/>
  <c r="F1516" i="4"/>
  <c r="K1515" i="4"/>
  <c r="F1515" i="4"/>
  <c r="K1514" i="4"/>
  <c r="F1514" i="4"/>
  <c r="K1513" i="4"/>
  <c r="F1513" i="4"/>
  <c r="K1512" i="4"/>
  <c r="J1512" i="4"/>
  <c r="F1512" i="4"/>
  <c r="K1511" i="4"/>
  <c r="J1511" i="4"/>
  <c r="F1511" i="4"/>
  <c r="K1510" i="4"/>
  <c r="J1510" i="4"/>
  <c r="F1510" i="4"/>
  <c r="K1509" i="4"/>
  <c r="J1509" i="4"/>
  <c r="F1509" i="4"/>
  <c r="K1508" i="4"/>
  <c r="J1508" i="4"/>
  <c r="F1508" i="4"/>
  <c r="K1507" i="4"/>
  <c r="J1507" i="4"/>
  <c r="F1507" i="4"/>
  <c r="K1506" i="4"/>
  <c r="J1506" i="4"/>
  <c r="F1506" i="4"/>
  <c r="K1505" i="4"/>
  <c r="J1505" i="4"/>
  <c r="F1505" i="4"/>
  <c r="K1504" i="4"/>
  <c r="J1504" i="4"/>
  <c r="F1504" i="4"/>
  <c r="K1503" i="4"/>
  <c r="J1503" i="4"/>
  <c r="F1503" i="4"/>
  <c r="K1502" i="4"/>
  <c r="J1502" i="4"/>
  <c r="F1502" i="4"/>
  <c r="K1501" i="4"/>
  <c r="J1501" i="4"/>
  <c r="F1501" i="4"/>
  <c r="K1500" i="4"/>
  <c r="J1500" i="4"/>
  <c r="F1500" i="4"/>
  <c r="K1499" i="4"/>
  <c r="J1499" i="4"/>
  <c r="F1499" i="4"/>
  <c r="K1498" i="4"/>
  <c r="J1498" i="4"/>
  <c r="F1498" i="4"/>
  <c r="K1497" i="4"/>
  <c r="J1497" i="4"/>
  <c r="F1497" i="4"/>
  <c r="K1496" i="4"/>
  <c r="J1496" i="4"/>
  <c r="F1496" i="4"/>
  <c r="K1495" i="4"/>
  <c r="J1495" i="4"/>
  <c r="F1495" i="4"/>
  <c r="K1494" i="4"/>
  <c r="J1494" i="4"/>
  <c r="F1494" i="4"/>
  <c r="K1493" i="4"/>
  <c r="J1493" i="4"/>
  <c r="F1493" i="4"/>
  <c r="K1492" i="4"/>
  <c r="J1492" i="4"/>
  <c r="F1492" i="4"/>
  <c r="K1491" i="4"/>
  <c r="J1491" i="4"/>
  <c r="F1491" i="4"/>
  <c r="K1490" i="4"/>
  <c r="J1490" i="4"/>
  <c r="F1490" i="4"/>
  <c r="K1489" i="4"/>
  <c r="J1489" i="4"/>
  <c r="F1489" i="4"/>
  <c r="K1488" i="4"/>
  <c r="J1488" i="4"/>
  <c r="F1488" i="4"/>
  <c r="K1487" i="4"/>
  <c r="J1487" i="4"/>
  <c r="F1487" i="4"/>
  <c r="K1486" i="4"/>
  <c r="J1486" i="4"/>
  <c r="F1486" i="4"/>
  <c r="K1485" i="4"/>
  <c r="J1485" i="4"/>
  <c r="F1485" i="4"/>
  <c r="K1484" i="4"/>
  <c r="J1484" i="4"/>
  <c r="F1484" i="4"/>
  <c r="K1483" i="4"/>
  <c r="J1483" i="4"/>
  <c r="F1483" i="4"/>
  <c r="K1482" i="4"/>
  <c r="J1482" i="4"/>
  <c r="F1482" i="4"/>
  <c r="K1481" i="4"/>
  <c r="J1481" i="4"/>
  <c r="F1481" i="4"/>
  <c r="K1480" i="4"/>
  <c r="J1480" i="4"/>
  <c r="F1480" i="4"/>
  <c r="K1479" i="4"/>
  <c r="J1479" i="4"/>
  <c r="F1479" i="4"/>
  <c r="K1478" i="4"/>
  <c r="J1478" i="4"/>
  <c r="F1478" i="4"/>
  <c r="K1477" i="4"/>
  <c r="J1477" i="4"/>
  <c r="F1477" i="4"/>
  <c r="K1476" i="4"/>
  <c r="J1476" i="4"/>
  <c r="F1476" i="4"/>
  <c r="K1475" i="4"/>
  <c r="J1475" i="4"/>
  <c r="F1475" i="4"/>
  <c r="K1474" i="4"/>
  <c r="J1474" i="4"/>
  <c r="F1474" i="4"/>
  <c r="K1473" i="4"/>
  <c r="J1473" i="4"/>
  <c r="F1473" i="4"/>
  <c r="K1472" i="4"/>
  <c r="J1472" i="4"/>
  <c r="F1472" i="4"/>
  <c r="K1471" i="4"/>
  <c r="J1471" i="4"/>
  <c r="F1471" i="4"/>
  <c r="K1470" i="4"/>
  <c r="J1470" i="4"/>
  <c r="F1470" i="4"/>
  <c r="K1469" i="4"/>
  <c r="J1469" i="4"/>
  <c r="F1469" i="4"/>
  <c r="K1468" i="4"/>
  <c r="J1468" i="4"/>
  <c r="F1468" i="4"/>
  <c r="K1467" i="4"/>
  <c r="J1467" i="4"/>
  <c r="F1467" i="4"/>
  <c r="K1466" i="4"/>
  <c r="J1466" i="4"/>
  <c r="F1466" i="4"/>
  <c r="K1465" i="4"/>
  <c r="J1465" i="4"/>
  <c r="F1465" i="4"/>
  <c r="K1464" i="4"/>
  <c r="J1464" i="4"/>
  <c r="F1464" i="4"/>
  <c r="K1463" i="4"/>
  <c r="J1463" i="4"/>
  <c r="F1463" i="4"/>
  <c r="K1462" i="4"/>
  <c r="J1462" i="4"/>
  <c r="F1462" i="4"/>
  <c r="K1461" i="4"/>
  <c r="J1461" i="4"/>
  <c r="F1461" i="4"/>
  <c r="K1460" i="4"/>
  <c r="J1460" i="4"/>
  <c r="F1460" i="4"/>
  <c r="K1459" i="4"/>
  <c r="J1459" i="4"/>
  <c r="F1459" i="4"/>
  <c r="K1458" i="4"/>
  <c r="J1458" i="4"/>
  <c r="F1458" i="4"/>
  <c r="K1457" i="4"/>
  <c r="J1457" i="4"/>
  <c r="F1457" i="4"/>
  <c r="K1456" i="4"/>
  <c r="J1456" i="4"/>
  <c r="F1456" i="4"/>
  <c r="K1455" i="4"/>
  <c r="J1455" i="4"/>
  <c r="F1455" i="4"/>
  <c r="K1454" i="4"/>
  <c r="J1454" i="4"/>
  <c r="F1454" i="4"/>
  <c r="K1453" i="4"/>
  <c r="J1453" i="4"/>
  <c r="F1453" i="4"/>
  <c r="K1452" i="4"/>
  <c r="J1452" i="4"/>
  <c r="F1452" i="4"/>
  <c r="K1451" i="4"/>
  <c r="J1451" i="4"/>
  <c r="F1451" i="4"/>
  <c r="K1450" i="4"/>
  <c r="J1450" i="4"/>
  <c r="F1450" i="4"/>
  <c r="K1449" i="4"/>
  <c r="J1449" i="4"/>
  <c r="F1449" i="4"/>
  <c r="K1448" i="4"/>
  <c r="J1448" i="4"/>
  <c r="F1448" i="4"/>
  <c r="K1447" i="4"/>
  <c r="J1447" i="4"/>
  <c r="F1447" i="4"/>
  <c r="K1446" i="4"/>
  <c r="J1446" i="4"/>
  <c r="F1446" i="4"/>
  <c r="K1445" i="4"/>
  <c r="J1445" i="4"/>
  <c r="F1445" i="4"/>
  <c r="K1444" i="4"/>
  <c r="J1444" i="4"/>
  <c r="F1444" i="4"/>
  <c r="K1443" i="4"/>
  <c r="J1443" i="4"/>
  <c r="F1443" i="4"/>
  <c r="K1442" i="4"/>
  <c r="J1442" i="4"/>
  <c r="F1442" i="4"/>
  <c r="K1441" i="4"/>
  <c r="J1441" i="4"/>
  <c r="F1441" i="4"/>
  <c r="K1440" i="4"/>
  <c r="J1440" i="4"/>
  <c r="F1440" i="4"/>
  <c r="K1439" i="4"/>
  <c r="J1439" i="4"/>
  <c r="F1439" i="4"/>
  <c r="K1438" i="4"/>
  <c r="J1438" i="4"/>
  <c r="F1438" i="4"/>
  <c r="K1437" i="4"/>
  <c r="J1437" i="4"/>
  <c r="F1437" i="4"/>
  <c r="K1436" i="4"/>
  <c r="J1436" i="4"/>
  <c r="F1436" i="4"/>
  <c r="K1435" i="4"/>
  <c r="J1435" i="4"/>
  <c r="F1435" i="4"/>
  <c r="K1434" i="4"/>
  <c r="J1434" i="4"/>
  <c r="F1434" i="4"/>
  <c r="K1433" i="4"/>
  <c r="J1433" i="4"/>
  <c r="F1433" i="4"/>
  <c r="K1432" i="4"/>
  <c r="J1432" i="4"/>
  <c r="F1432" i="4"/>
  <c r="K1431" i="4"/>
  <c r="J1431" i="4"/>
  <c r="F1431" i="4"/>
  <c r="K1430" i="4"/>
  <c r="J1430" i="4"/>
  <c r="F1430" i="4"/>
  <c r="K1429" i="4"/>
  <c r="J1429" i="4"/>
  <c r="F1429" i="4"/>
  <c r="K1428" i="4"/>
  <c r="J1428" i="4"/>
  <c r="F1428" i="4"/>
  <c r="K1427" i="4"/>
  <c r="J1427" i="4"/>
  <c r="F1427" i="4"/>
  <c r="K1426" i="4"/>
  <c r="J1426" i="4"/>
  <c r="F1426" i="4"/>
  <c r="K1425" i="4"/>
  <c r="J1425" i="4"/>
  <c r="F1425" i="4"/>
  <c r="K1424" i="4"/>
  <c r="J1424" i="4"/>
  <c r="F1424" i="4"/>
  <c r="K1423" i="4"/>
  <c r="J1423" i="4"/>
  <c r="F1423" i="4"/>
  <c r="K1422" i="4"/>
  <c r="J1422" i="4"/>
  <c r="F1422" i="4"/>
  <c r="K1421" i="4"/>
  <c r="J1421" i="4"/>
  <c r="F1421" i="4"/>
  <c r="K1420" i="4"/>
  <c r="J1420" i="4"/>
  <c r="F1420" i="4"/>
  <c r="K1419" i="4"/>
  <c r="J1419" i="4"/>
  <c r="F1419" i="4"/>
  <c r="K1418" i="4"/>
  <c r="J1418" i="4"/>
  <c r="F1418" i="4"/>
  <c r="K1417" i="4"/>
  <c r="J1417" i="4"/>
  <c r="F1417" i="4"/>
  <c r="K1416" i="4"/>
  <c r="J1416" i="4"/>
  <c r="F1416" i="4"/>
  <c r="K1415" i="4"/>
  <c r="J1415" i="4"/>
  <c r="F1415" i="4"/>
  <c r="K1414" i="4"/>
  <c r="J1414" i="4"/>
  <c r="F1414" i="4"/>
  <c r="K1413" i="4"/>
  <c r="J1413" i="4"/>
  <c r="F1413" i="4"/>
  <c r="K1412" i="4"/>
  <c r="J1412" i="4"/>
  <c r="F1412" i="4"/>
  <c r="K1411" i="4"/>
  <c r="J1411" i="4"/>
  <c r="F1411" i="4"/>
  <c r="K1410" i="4"/>
  <c r="J1410" i="4"/>
  <c r="F1410" i="4"/>
  <c r="K1409" i="4"/>
  <c r="J1409" i="4"/>
  <c r="F1409" i="4"/>
  <c r="K1408" i="4"/>
  <c r="J1408" i="4"/>
  <c r="F1408" i="4"/>
  <c r="K1407" i="4"/>
  <c r="J1407" i="4"/>
  <c r="F1407" i="4"/>
  <c r="K1406" i="4"/>
  <c r="J1406" i="4"/>
  <c r="F1406" i="4"/>
  <c r="K1405" i="4"/>
  <c r="J1405" i="4"/>
  <c r="F1405" i="4"/>
  <c r="K1404" i="4"/>
  <c r="J1404" i="4"/>
  <c r="F1404" i="4"/>
  <c r="K1403" i="4"/>
  <c r="J1403" i="4"/>
  <c r="F1403" i="4"/>
  <c r="K1402" i="4"/>
  <c r="J1402" i="4"/>
  <c r="F1402" i="4"/>
  <c r="K1401" i="4"/>
  <c r="J1401" i="4"/>
  <c r="F1401" i="4"/>
  <c r="K1400" i="4"/>
  <c r="J1400" i="4"/>
  <c r="F1400" i="4"/>
  <c r="K1399" i="4"/>
  <c r="J1399" i="4"/>
  <c r="F1399" i="4"/>
  <c r="K1398" i="4"/>
  <c r="J1398" i="4"/>
  <c r="F1398" i="4"/>
  <c r="K1397" i="4"/>
  <c r="J1397" i="4"/>
  <c r="F1397" i="4"/>
  <c r="K1396" i="4"/>
  <c r="J1396" i="4"/>
  <c r="F1396" i="4"/>
  <c r="K1395" i="4"/>
  <c r="J1395" i="4"/>
  <c r="F1395" i="4"/>
  <c r="K1394" i="4"/>
  <c r="J1394" i="4"/>
  <c r="F1394" i="4"/>
  <c r="K1393" i="4"/>
  <c r="J1393" i="4"/>
  <c r="F1393" i="4"/>
  <c r="K1392" i="4"/>
  <c r="J1392" i="4"/>
  <c r="F1392" i="4"/>
  <c r="K1391" i="4"/>
  <c r="J1391" i="4"/>
  <c r="F1391" i="4"/>
  <c r="K1390" i="4"/>
  <c r="J1390" i="4"/>
  <c r="F1390" i="4"/>
  <c r="K1389" i="4"/>
  <c r="J1389" i="4"/>
  <c r="F1389" i="4"/>
  <c r="K1388" i="4"/>
  <c r="J1388" i="4"/>
  <c r="F1388" i="4"/>
  <c r="K1387" i="4"/>
  <c r="J1387" i="4"/>
  <c r="F1387" i="4"/>
  <c r="K1386" i="4"/>
  <c r="J1386" i="4"/>
  <c r="F1386" i="4"/>
  <c r="K1385" i="4"/>
  <c r="J1385" i="4"/>
  <c r="F1385" i="4"/>
  <c r="K1384" i="4"/>
  <c r="J1384" i="4"/>
  <c r="F1384" i="4"/>
  <c r="K1383" i="4"/>
  <c r="J1383" i="4"/>
  <c r="F1383" i="4"/>
  <c r="K1382" i="4"/>
  <c r="J1382" i="4"/>
  <c r="F1382" i="4"/>
  <c r="K1381" i="4"/>
  <c r="J1381" i="4"/>
  <c r="F1381" i="4"/>
  <c r="K1380" i="4"/>
  <c r="J1380" i="4"/>
  <c r="F1380" i="4"/>
  <c r="K1379" i="4"/>
  <c r="J1379" i="4"/>
  <c r="F1379" i="4"/>
  <c r="K1378" i="4"/>
  <c r="J1378" i="4"/>
  <c r="F1378" i="4"/>
  <c r="K1377" i="4"/>
  <c r="J1377" i="4"/>
  <c r="F1377" i="4"/>
  <c r="K1376" i="4"/>
  <c r="J1376" i="4"/>
  <c r="F1376" i="4"/>
  <c r="K1375" i="4"/>
  <c r="J1375" i="4"/>
  <c r="F1375" i="4"/>
  <c r="K1374" i="4"/>
  <c r="J1374" i="4"/>
  <c r="F1374" i="4"/>
  <c r="K1373" i="4"/>
  <c r="J1373" i="4"/>
  <c r="F1373" i="4"/>
  <c r="K1372" i="4"/>
  <c r="J1372" i="4"/>
  <c r="F1372" i="4"/>
  <c r="K1371" i="4"/>
  <c r="J1371" i="4"/>
  <c r="F1371" i="4"/>
  <c r="K1370" i="4"/>
  <c r="J1370" i="4"/>
  <c r="F1370" i="4"/>
  <c r="K1369" i="4"/>
  <c r="J1369" i="4"/>
  <c r="F1369" i="4"/>
  <c r="K1368" i="4"/>
  <c r="J1368" i="4"/>
  <c r="F1368" i="4"/>
  <c r="K1367" i="4"/>
  <c r="J1367" i="4"/>
  <c r="F1367" i="4"/>
  <c r="K1366" i="4"/>
  <c r="J1366" i="4"/>
  <c r="F1366" i="4"/>
  <c r="K1365" i="4"/>
  <c r="J1365" i="4"/>
  <c r="F1365" i="4"/>
  <c r="K1364" i="4"/>
  <c r="J1364" i="4"/>
  <c r="F1364" i="4"/>
  <c r="K1363" i="4"/>
  <c r="J1363" i="4"/>
  <c r="F1363" i="4"/>
  <c r="K1362" i="4"/>
  <c r="J1362" i="4"/>
  <c r="F1362" i="4"/>
  <c r="K1361" i="4"/>
  <c r="J1361" i="4"/>
  <c r="F1361" i="4"/>
  <c r="K1360" i="4"/>
  <c r="J1360" i="4"/>
  <c r="F1360" i="4"/>
  <c r="K1359" i="4"/>
  <c r="J1359" i="4"/>
  <c r="F1359" i="4"/>
  <c r="K1358" i="4"/>
  <c r="J1358" i="4"/>
  <c r="F1358" i="4"/>
  <c r="K1357" i="4"/>
  <c r="J1357" i="4"/>
  <c r="F1357" i="4"/>
  <c r="K1356" i="4"/>
  <c r="J1356" i="4"/>
  <c r="F1356" i="4"/>
  <c r="K1355" i="4"/>
  <c r="J1355" i="4"/>
  <c r="F1355" i="4"/>
  <c r="K1354" i="4"/>
  <c r="J1354" i="4"/>
  <c r="F1354" i="4"/>
  <c r="K1353" i="4"/>
  <c r="J1353" i="4"/>
  <c r="F1353" i="4"/>
  <c r="K1352" i="4"/>
  <c r="J1352" i="4"/>
  <c r="F1352" i="4"/>
  <c r="K1351" i="4"/>
  <c r="J1351" i="4"/>
  <c r="F1351" i="4"/>
  <c r="K1350" i="4"/>
  <c r="J1350" i="4"/>
  <c r="F1350" i="4"/>
  <c r="K1349" i="4"/>
  <c r="J1349" i="4"/>
  <c r="F1349" i="4"/>
  <c r="K1348" i="4"/>
  <c r="J1348" i="4"/>
  <c r="F1348" i="4"/>
  <c r="K1347" i="4"/>
  <c r="J1347" i="4"/>
  <c r="F1347" i="4"/>
  <c r="K1346" i="4"/>
  <c r="J1346" i="4"/>
  <c r="F1346" i="4"/>
  <c r="K1345" i="4"/>
  <c r="J1345" i="4"/>
  <c r="F1345" i="4"/>
  <c r="K1344" i="4"/>
  <c r="J1344" i="4"/>
  <c r="F1344" i="4"/>
  <c r="K1343" i="4"/>
  <c r="J1343" i="4"/>
  <c r="F1343" i="4"/>
  <c r="K1342" i="4"/>
  <c r="J1342" i="4"/>
  <c r="F1342" i="4"/>
  <c r="K1341" i="4"/>
  <c r="J1341" i="4"/>
  <c r="F1341" i="4"/>
  <c r="K1340" i="4"/>
  <c r="J1340" i="4"/>
  <c r="F1340" i="4"/>
  <c r="K1339" i="4"/>
  <c r="J1339" i="4"/>
  <c r="F1339" i="4"/>
  <c r="K1338" i="4"/>
  <c r="J1338" i="4"/>
  <c r="F1338" i="4"/>
  <c r="K1337" i="4"/>
  <c r="J1337" i="4"/>
  <c r="F1337" i="4"/>
  <c r="K1336" i="4"/>
  <c r="J1336" i="4"/>
  <c r="F1336" i="4"/>
  <c r="K1335" i="4"/>
  <c r="J1335" i="4"/>
  <c r="F1335" i="4"/>
  <c r="K1334" i="4"/>
  <c r="J1334" i="4"/>
  <c r="F1334" i="4"/>
  <c r="K1333" i="4"/>
  <c r="J1333" i="4"/>
  <c r="F1333" i="4"/>
  <c r="K1332" i="4"/>
  <c r="J1332" i="4"/>
  <c r="F1332" i="4"/>
  <c r="K1331" i="4"/>
  <c r="J1331" i="4"/>
  <c r="F1331" i="4"/>
  <c r="K1330" i="4"/>
  <c r="J1330" i="4"/>
  <c r="F1330" i="4"/>
  <c r="K1329" i="4"/>
  <c r="J1329" i="4"/>
  <c r="F1329" i="4"/>
  <c r="K1328" i="4"/>
  <c r="J1328" i="4"/>
  <c r="F1328" i="4"/>
  <c r="K1327" i="4"/>
  <c r="J1327" i="4"/>
  <c r="F1327" i="4"/>
  <c r="K1326" i="4"/>
  <c r="J1326" i="4"/>
  <c r="F1326" i="4"/>
  <c r="K1325" i="4"/>
  <c r="J1325" i="4"/>
  <c r="F1325" i="4"/>
  <c r="K1324" i="4"/>
  <c r="J1324" i="4"/>
  <c r="F1324" i="4"/>
  <c r="K1323" i="4"/>
  <c r="J1323" i="4"/>
  <c r="F1323" i="4"/>
  <c r="K1322" i="4"/>
  <c r="J1322" i="4"/>
  <c r="F1322" i="4"/>
  <c r="K1321" i="4"/>
  <c r="J1321" i="4"/>
  <c r="F1321" i="4"/>
  <c r="K1320" i="4"/>
  <c r="J1320" i="4"/>
  <c r="F1320" i="4"/>
  <c r="K1319" i="4"/>
  <c r="J1319" i="4"/>
  <c r="F1319" i="4"/>
  <c r="K1318" i="4"/>
  <c r="J1318" i="4"/>
  <c r="F1318" i="4"/>
  <c r="K1317" i="4"/>
  <c r="J1317" i="4"/>
  <c r="F1317" i="4"/>
  <c r="K1316" i="4"/>
  <c r="J1316" i="4"/>
  <c r="F1316" i="4"/>
  <c r="K1315" i="4"/>
  <c r="J1315" i="4"/>
  <c r="F1315" i="4"/>
  <c r="K1314" i="4"/>
  <c r="J1314" i="4"/>
  <c r="F1314" i="4"/>
  <c r="K1313" i="4"/>
  <c r="J1313" i="4"/>
  <c r="F1313" i="4"/>
  <c r="K1312" i="4"/>
  <c r="J1312" i="4"/>
  <c r="F1312" i="4"/>
  <c r="K1311" i="4"/>
  <c r="J1311" i="4"/>
  <c r="F1311" i="4"/>
  <c r="K1310" i="4"/>
  <c r="J1310" i="4"/>
  <c r="F1310" i="4"/>
  <c r="K1309" i="4"/>
  <c r="J1309" i="4"/>
  <c r="F1309" i="4"/>
  <c r="K1308" i="4"/>
  <c r="J1308" i="4"/>
  <c r="F1308" i="4"/>
  <c r="K1307" i="4"/>
  <c r="J1307" i="4"/>
  <c r="F1307" i="4"/>
  <c r="K1306" i="4"/>
  <c r="J1306" i="4"/>
  <c r="F1306" i="4"/>
  <c r="K1305" i="4"/>
  <c r="J1305" i="4"/>
  <c r="F1305" i="4"/>
  <c r="K1304" i="4"/>
  <c r="J1304" i="4"/>
  <c r="F1304" i="4"/>
  <c r="K1303" i="4"/>
  <c r="J1303" i="4"/>
  <c r="F1303" i="4"/>
  <c r="K1302" i="4"/>
  <c r="J1302" i="4"/>
  <c r="F1302" i="4"/>
  <c r="K1301" i="4"/>
  <c r="J1301" i="4"/>
  <c r="F1301" i="4"/>
  <c r="K1300" i="4"/>
  <c r="J1300" i="4"/>
  <c r="F1300" i="4"/>
  <c r="K1299" i="4"/>
  <c r="J1299" i="4"/>
  <c r="F1299" i="4"/>
  <c r="K1298" i="4"/>
  <c r="J1298" i="4"/>
  <c r="F1298" i="4"/>
  <c r="K1297" i="4"/>
  <c r="J1297" i="4"/>
  <c r="F1297" i="4"/>
  <c r="K1296" i="4"/>
  <c r="J1296" i="4"/>
  <c r="F1296" i="4"/>
  <c r="K1295" i="4"/>
  <c r="J1295" i="4"/>
  <c r="F1295" i="4"/>
  <c r="K1294" i="4"/>
  <c r="J1294" i="4"/>
  <c r="F1294" i="4"/>
  <c r="K1293" i="4"/>
  <c r="J1293" i="4"/>
  <c r="F1293" i="4"/>
  <c r="K1292" i="4"/>
  <c r="J1292" i="4"/>
  <c r="F1292" i="4"/>
  <c r="K1291" i="4"/>
  <c r="J1291" i="4"/>
  <c r="F1291" i="4"/>
  <c r="K1290" i="4"/>
  <c r="J1290" i="4"/>
  <c r="F1290" i="4"/>
  <c r="K1289" i="4"/>
  <c r="J1289" i="4"/>
  <c r="F1289" i="4"/>
  <c r="K1288" i="4"/>
  <c r="J1288" i="4"/>
  <c r="F1288" i="4"/>
  <c r="K1287" i="4"/>
  <c r="J1287" i="4"/>
  <c r="F1287" i="4"/>
  <c r="K1286" i="4"/>
  <c r="J1286" i="4"/>
  <c r="F1286" i="4"/>
  <c r="K1285" i="4"/>
  <c r="J1285" i="4"/>
  <c r="F1285" i="4"/>
  <c r="K1284" i="4"/>
  <c r="J1284" i="4"/>
  <c r="F1284" i="4"/>
  <c r="K1283" i="4"/>
  <c r="J1283" i="4"/>
  <c r="F1283" i="4"/>
  <c r="K1282" i="4"/>
  <c r="J1282" i="4"/>
  <c r="F1282" i="4"/>
  <c r="K1281" i="4"/>
  <c r="J1281" i="4"/>
  <c r="F1281" i="4"/>
  <c r="K1280" i="4"/>
  <c r="J1280" i="4"/>
  <c r="F1280" i="4"/>
  <c r="K1279" i="4"/>
  <c r="J1279" i="4"/>
  <c r="F1279" i="4"/>
  <c r="K1278" i="4"/>
  <c r="J1278" i="4"/>
  <c r="F1278" i="4"/>
  <c r="K1277" i="4"/>
  <c r="J1277" i="4"/>
  <c r="F1277" i="4"/>
  <c r="K1276" i="4"/>
  <c r="J1276" i="4"/>
  <c r="F1276" i="4"/>
  <c r="K1275" i="4"/>
  <c r="J1275" i="4"/>
  <c r="F1275" i="4"/>
  <c r="K1274" i="4"/>
  <c r="J1274" i="4"/>
  <c r="F1274" i="4"/>
  <c r="K1273" i="4"/>
  <c r="J1273" i="4"/>
  <c r="F1273" i="4"/>
  <c r="K1272" i="4"/>
  <c r="J1272" i="4"/>
  <c r="F1272" i="4"/>
  <c r="K1271" i="4"/>
  <c r="J1271" i="4"/>
  <c r="F1271" i="4"/>
  <c r="K1270" i="4"/>
  <c r="J1270" i="4"/>
  <c r="F1270" i="4"/>
  <c r="K1269" i="4"/>
  <c r="J1269" i="4"/>
  <c r="F1269" i="4"/>
  <c r="K1268" i="4"/>
  <c r="J1268" i="4"/>
  <c r="F1268" i="4"/>
  <c r="K1267" i="4"/>
  <c r="J1267" i="4"/>
  <c r="F1267" i="4"/>
  <c r="K1266" i="4"/>
  <c r="J1266" i="4"/>
  <c r="F1266" i="4"/>
  <c r="K1265" i="4"/>
  <c r="J1265" i="4"/>
  <c r="F1265" i="4"/>
  <c r="K1264" i="4"/>
  <c r="J1264" i="4"/>
  <c r="F1264" i="4"/>
  <c r="K1263" i="4"/>
  <c r="J1263" i="4"/>
  <c r="F1263" i="4"/>
  <c r="K1262" i="4"/>
  <c r="J1262" i="4"/>
  <c r="F1262" i="4"/>
  <c r="K1261" i="4"/>
  <c r="J1261" i="4"/>
  <c r="F1261" i="4"/>
  <c r="K1260" i="4"/>
  <c r="J1260" i="4"/>
  <c r="F1260" i="4"/>
  <c r="K1259" i="4"/>
  <c r="J1259" i="4"/>
  <c r="F1259" i="4"/>
  <c r="K1258" i="4"/>
  <c r="J1258" i="4"/>
  <c r="F1258" i="4"/>
  <c r="K1257" i="4"/>
  <c r="J1257" i="4"/>
  <c r="F1257" i="4"/>
  <c r="K1256" i="4"/>
  <c r="J1256" i="4"/>
  <c r="F1256" i="4"/>
  <c r="K1255" i="4"/>
  <c r="J1255" i="4"/>
  <c r="F1255" i="4"/>
  <c r="K1254" i="4"/>
  <c r="J1254" i="4"/>
  <c r="F1254" i="4"/>
  <c r="K1253" i="4"/>
  <c r="J1253" i="4"/>
  <c r="F1253" i="4"/>
  <c r="K1252" i="4"/>
  <c r="J1252" i="4"/>
  <c r="F1252" i="4"/>
  <c r="K1251" i="4"/>
  <c r="J1251" i="4"/>
  <c r="F1251" i="4"/>
  <c r="K1250" i="4"/>
  <c r="J1250" i="4"/>
  <c r="F1250" i="4"/>
  <c r="K1249" i="4"/>
  <c r="J1249" i="4"/>
  <c r="F1249" i="4"/>
  <c r="K1248" i="4"/>
  <c r="J1248" i="4"/>
  <c r="F1248" i="4"/>
  <c r="K1247" i="4"/>
  <c r="J1247" i="4"/>
  <c r="F1247" i="4"/>
  <c r="K1246" i="4"/>
  <c r="J1246" i="4"/>
  <c r="F1246" i="4"/>
  <c r="K1245" i="4"/>
  <c r="J1245" i="4"/>
  <c r="F1245" i="4"/>
  <c r="K1244" i="4"/>
  <c r="J1244" i="4"/>
  <c r="F1244" i="4"/>
  <c r="K1243" i="4"/>
  <c r="J1243" i="4"/>
  <c r="F1243" i="4"/>
  <c r="K1242" i="4"/>
  <c r="J1242" i="4"/>
  <c r="F1242" i="4"/>
  <c r="K1241" i="4"/>
  <c r="J1241" i="4"/>
  <c r="F1241" i="4"/>
  <c r="K1240" i="4"/>
  <c r="J1240" i="4"/>
  <c r="F1240" i="4"/>
  <c r="K1239" i="4"/>
  <c r="J1239" i="4"/>
  <c r="F1239" i="4"/>
  <c r="K1238" i="4"/>
  <c r="J1238" i="4"/>
  <c r="F1238" i="4"/>
  <c r="K1237" i="4"/>
  <c r="J1237" i="4"/>
  <c r="F1237" i="4"/>
  <c r="K1236" i="4"/>
  <c r="J1236" i="4"/>
  <c r="F1236" i="4"/>
  <c r="K1235" i="4"/>
  <c r="J1235" i="4"/>
  <c r="F1235" i="4"/>
  <c r="K1234" i="4"/>
  <c r="J1234" i="4"/>
  <c r="F1234" i="4"/>
  <c r="K1233" i="4"/>
  <c r="J1233" i="4"/>
  <c r="F1233" i="4"/>
  <c r="K1232" i="4"/>
  <c r="J1232" i="4"/>
  <c r="F1232" i="4"/>
  <c r="K1231" i="4"/>
  <c r="J1231" i="4"/>
  <c r="F1231" i="4"/>
  <c r="K1230" i="4"/>
  <c r="J1230" i="4"/>
  <c r="F1230" i="4"/>
  <c r="K1229" i="4"/>
  <c r="J1229" i="4"/>
  <c r="F1229" i="4"/>
  <c r="K1228" i="4"/>
  <c r="J1228" i="4"/>
  <c r="F1228" i="4"/>
  <c r="K1227" i="4"/>
  <c r="J1227" i="4"/>
  <c r="F1227" i="4"/>
  <c r="K1226" i="4"/>
  <c r="J1226" i="4"/>
  <c r="F1226" i="4"/>
  <c r="K1225" i="4"/>
  <c r="J1225" i="4"/>
  <c r="F1225" i="4"/>
  <c r="K1224" i="4"/>
  <c r="J1224" i="4"/>
  <c r="F1224" i="4"/>
  <c r="K1223" i="4"/>
  <c r="J1223" i="4"/>
  <c r="F1223" i="4"/>
  <c r="K1222" i="4"/>
  <c r="J1222" i="4"/>
  <c r="F1222" i="4"/>
  <c r="K1221" i="4"/>
  <c r="J1221" i="4"/>
  <c r="F1221" i="4"/>
  <c r="K1220" i="4"/>
  <c r="J1220" i="4"/>
  <c r="F1220" i="4"/>
  <c r="K1219" i="4"/>
  <c r="J1219" i="4"/>
  <c r="F1219" i="4"/>
  <c r="K1218" i="4"/>
  <c r="J1218" i="4"/>
  <c r="F1218" i="4"/>
  <c r="K1217" i="4"/>
  <c r="J1217" i="4"/>
  <c r="F1217" i="4"/>
  <c r="K1216" i="4"/>
  <c r="J1216" i="4"/>
  <c r="F1216" i="4"/>
  <c r="K1215" i="4"/>
  <c r="J1215" i="4"/>
  <c r="F1215" i="4"/>
  <c r="K1214" i="4"/>
  <c r="J1214" i="4"/>
  <c r="F1214" i="4"/>
  <c r="K1213" i="4"/>
  <c r="J1213" i="4"/>
  <c r="F1213" i="4"/>
  <c r="K1212" i="4"/>
  <c r="J1212" i="4"/>
  <c r="F1212" i="4"/>
  <c r="K1211" i="4"/>
  <c r="J1211" i="4"/>
  <c r="F1211" i="4"/>
  <c r="K1210" i="4"/>
  <c r="J1210" i="4"/>
  <c r="F1210" i="4"/>
  <c r="K1209" i="4"/>
  <c r="J1209" i="4"/>
  <c r="F1209" i="4"/>
  <c r="K1208" i="4"/>
  <c r="J1208" i="4"/>
  <c r="F1208" i="4"/>
  <c r="K1207" i="4"/>
  <c r="J1207" i="4"/>
  <c r="F1207" i="4"/>
  <c r="K1206" i="4"/>
  <c r="J1206" i="4"/>
  <c r="F1206" i="4"/>
  <c r="K1205" i="4"/>
  <c r="J1205" i="4"/>
  <c r="F1205" i="4"/>
  <c r="K1204" i="4"/>
  <c r="J1204" i="4"/>
  <c r="F1204" i="4"/>
  <c r="K1203" i="4"/>
  <c r="J1203" i="4"/>
  <c r="F1203" i="4"/>
  <c r="K1202" i="4"/>
  <c r="J1202" i="4"/>
  <c r="F1202" i="4"/>
  <c r="K1201" i="4"/>
  <c r="J1201" i="4"/>
  <c r="F1201" i="4"/>
  <c r="K1200" i="4"/>
  <c r="J1200" i="4"/>
  <c r="F1200" i="4"/>
  <c r="K1199" i="4"/>
  <c r="J1199" i="4"/>
  <c r="F1199" i="4"/>
  <c r="K1198" i="4"/>
  <c r="J1198" i="4"/>
  <c r="F1198" i="4"/>
  <c r="K1197" i="4"/>
  <c r="J1197" i="4"/>
  <c r="F1197" i="4"/>
  <c r="K1196" i="4"/>
  <c r="J1196" i="4"/>
  <c r="F1196" i="4"/>
  <c r="K1195" i="4"/>
  <c r="J1195" i="4"/>
  <c r="F1195" i="4"/>
  <c r="K1194" i="4"/>
  <c r="J1194" i="4"/>
  <c r="F1194" i="4"/>
  <c r="K1193" i="4"/>
  <c r="J1193" i="4"/>
  <c r="F1193" i="4"/>
  <c r="K1192" i="4"/>
  <c r="J1192" i="4"/>
  <c r="F1192" i="4"/>
  <c r="K1191" i="4"/>
  <c r="J1191" i="4"/>
  <c r="F1191" i="4"/>
  <c r="K1190" i="4"/>
  <c r="J1190" i="4"/>
  <c r="F1190" i="4"/>
  <c r="K1189" i="4"/>
  <c r="J1189" i="4"/>
  <c r="F1189" i="4"/>
  <c r="K1188" i="4"/>
  <c r="J1188" i="4"/>
  <c r="F1188" i="4"/>
  <c r="K1187" i="4"/>
  <c r="J1187" i="4"/>
  <c r="F1187" i="4"/>
  <c r="K1186" i="4"/>
  <c r="J1186" i="4"/>
  <c r="F1186" i="4"/>
  <c r="K1185" i="4"/>
  <c r="J1185" i="4"/>
  <c r="F1185" i="4"/>
  <c r="K1184" i="4"/>
  <c r="J1184" i="4"/>
  <c r="F1184" i="4"/>
  <c r="K1183" i="4"/>
  <c r="J1183" i="4"/>
  <c r="F1183" i="4"/>
  <c r="K1182" i="4"/>
  <c r="J1182" i="4"/>
  <c r="F1182" i="4"/>
  <c r="K1181" i="4"/>
  <c r="J1181" i="4"/>
  <c r="F1181" i="4"/>
  <c r="K1180" i="4"/>
  <c r="J1180" i="4"/>
  <c r="F1180" i="4"/>
  <c r="K1179" i="4"/>
  <c r="J1179" i="4"/>
  <c r="F1179" i="4"/>
  <c r="K1178" i="4"/>
  <c r="J1178" i="4"/>
  <c r="F1178" i="4"/>
  <c r="K1177" i="4"/>
  <c r="J1177" i="4"/>
  <c r="F1177" i="4"/>
  <c r="K1176" i="4"/>
  <c r="J1176" i="4"/>
  <c r="F1176" i="4"/>
  <c r="K1175" i="4"/>
  <c r="J1175" i="4"/>
  <c r="F1175" i="4"/>
  <c r="K1174" i="4"/>
  <c r="J1174" i="4"/>
  <c r="F1174" i="4"/>
  <c r="K1173" i="4"/>
  <c r="J1173" i="4"/>
  <c r="F1173" i="4"/>
  <c r="K1172" i="4"/>
  <c r="J1172" i="4"/>
  <c r="F1172" i="4"/>
  <c r="K1171" i="4"/>
  <c r="J1171" i="4"/>
  <c r="F1171" i="4"/>
  <c r="K1170" i="4"/>
  <c r="J1170" i="4"/>
  <c r="F1170" i="4"/>
  <c r="K1169" i="4"/>
  <c r="J1169" i="4"/>
  <c r="F1169" i="4"/>
  <c r="K1168" i="4"/>
  <c r="J1168" i="4"/>
  <c r="F1168" i="4"/>
  <c r="K1167" i="4"/>
  <c r="J1167" i="4"/>
  <c r="F1167" i="4"/>
  <c r="K1166" i="4"/>
  <c r="J1166" i="4"/>
  <c r="F1166" i="4"/>
  <c r="K1165" i="4"/>
  <c r="J1165" i="4"/>
  <c r="F1165" i="4"/>
  <c r="K1164" i="4"/>
  <c r="J1164" i="4"/>
  <c r="F1164" i="4"/>
  <c r="K1163" i="4"/>
  <c r="J1163" i="4"/>
  <c r="F1163" i="4"/>
  <c r="K1162" i="4"/>
  <c r="J1162" i="4"/>
  <c r="F1162" i="4"/>
  <c r="K1161" i="4"/>
  <c r="J1161" i="4"/>
  <c r="F1161" i="4"/>
  <c r="K1160" i="4"/>
  <c r="J1160" i="4"/>
  <c r="F1160" i="4"/>
  <c r="K1159" i="4"/>
  <c r="J1159" i="4"/>
  <c r="F1159" i="4"/>
  <c r="K1158" i="4"/>
  <c r="J1158" i="4"/>
  <c r="F1158" i="4"/>
  <c r="K1157" i="4"/>
  <c r="J1157" i="4"/>
  <c r="F1157" i="4"/>
  <c r="K1156" i="4"/>
  <c r="J1156" i="4"/>
  <c r="F1156" i="4"/>
  <c r="K1155" i="4"/>
  <c r="J1155" i="4"/>
  <c r="F1155" i="4"/>
  <c r="K1154" i="4"/>
  <c r="J1154" i="4"/>
  <c r="F1154" i="4"/>
  <c r="K1153" i="4"/>
  <c r="J1153" i="4"/>
  <c r="F1153" i="4"/>
  <c r="K1152" i="4"/>
  <c r="J1152" i="4"/>
  <c r="F1152" i="4"/>
  <c r="K1151" i="4"/>
  <c r="J1151" i="4"/>
  <c r="F1151" i="4"/>
  <c r="K1150" i="4"/>
  <c r="J1150" i="4"/>
  <c r="F1150" i="4"/>
  <c r="K1149" i="4"/>
  <c r="J1149" i="4"/>
  <c r="F1149" i="4"/>
  <c r="K1148" i="4"/>
  <c r="J1148" i="4"/>
  <c r="F1148" i="4"/>
  <c r="K1147" i="4"/>
  <c r="J1147" i="4"/>
  <c r="F1147" i="4"/>
  <c r="K1146" i="4"/>
  <c r="J1146" i="4"/>
  <c r="F1146" i="4"/>
  <c r="K1145" i="4"/>
  <c r="J1145" i="4"/>
  <c r="F1145" i="4"/>
  <c r="K1144" i="4"/>
  <c r="J1144" i="4"/>
  <c r="F1144" i="4"/>
  <c r="K1143" i="4"/>
  <c r="J1143" i="4"/>
  <c r="F1143" i="4"/>
  <c r="K1142" i="4"/>
  <c r="J1142" i="4"/>
  <c r="F1142" i="4"/>
  <c r="K1141" i="4"/>
  <c r="J1141" i="4"/>
  <c r="F1141" i="4"/>
  <c r="K1140" i="4"/>
  <c r="J1140" i="4"/>
  <c r="F1140" i="4"/>
  <c r="K1139" i="4"/>
  <c r="J1139" i="4"/>
  <c r="F1139" i="4"/>
  <c r="K1138" i="4"/>
  <c r="J1138" i="4"/>
  <c r="F1138" i="4"/>
  <c r="K1137" i="4"/>
  <c r="J1137" i="4"/>
  <c r="F1137" i="4"/>
  <c r="K1136" i="4"/>
  <c r="J1136" i="4"/>
  <c r="F1136" i="4"/>
  <c r="K1135" i="4"/>
  <c r="J1135" i="4"/>
  <c r="F1135" i="4"/>
  <c r="K1134" i="4"/>
  <c r="J1134" i="4"/>
  <c r="F1134" i="4"/>
  <c r="K1133" i="4"/>
  <c r="J1133" i="4"/>
  <c r="F1133" i="4"/>
  <c r="K1132" i="4"/>
  <c r="J1132" i="4"/>
  <c r="F1132" i="4"/>
  <c r="K1131" i="4"/>
  <c r="J1131" i="4"/>
  <c r="F1131" i="4"/>
  <c r="K1130" i="4"/>
  <c r="J1130" i="4"/>
  <c r="F1130" i="4"/>
  <c r="K1129" i="4"/>
  <c r="J1129" i="4"/>
  <c r="F1129" i="4"/>
  <c r="K1128" i="4"/>
  <c r="J1128" i="4"/>
  <c r="F1128" i="4"/>
  <c r="K1127" i="4"/>
  <c r="J1127" i="4"/>
  <c r="F1127" i="4"/>
  <c r="K1126" i="4"/>
  <c r="J1126" i="4"/>
  <c r="F1126" i="4"/>
  <c r="K1125" i="4"/>
  <c r="J1125" i="4"/>
  <c r="F1125" i="4"/>
  <c r="K1124" i="4"/>
  <c r="J1124" i="4"/>
  <c r="F1124" i="4"/>
  <c r="K1123" i="4"/>
  <c r="J1123" i="4"/>
  <c r="F1123" i="4"/>
  <c r="K1122" i="4"/>
  <c r="J1122" i="4"/>
  <c r="F1122" i="4"/>
  <c r="K1121" i="4"/>
  <c r="J1121" i="4"/>
  <c r="F1121" i="4"/>
  <c r="K1120" i="4"/>
  <c r="J1120" i="4"/>
  <c r="F1120" i="4"/>
  <c r="K1119" i="4"/>
  <c r="J1119" i="4"/>
  <c r="F1119" i="4"/>
  <c r="K1118" i="4"/>
  <c r="J1118" i="4"/>
  <c r="F1118" i="4"/>
  <c r="K1117" i="4"/>
  <c r="J1117" i="4"/>
  <c r="F1117" i="4"/>
  <c r="K1116" i="4"/>
  <c r="J1116" i="4"/>
  <c r="F1116" i="4"/>
  <c r="K1115" i="4"/>
  <c r="J1115" i="4"/>
  <c r="F1115" i="4"/>
  <c r="K1114" i="4"/>
  <c r="J1114" i="4"/>
  <c r="F1114" i="4"/>
  <c r="K1113" i="4"/>
  <c r="J1113" i="4"/>
  <c r="F1113" i="4"/>
  <c r="K1112" i="4"/>
  <c r="J1112" i="4"/>
  <c r="F1112" i="4"/>
  <c r="K1111" i="4"/>
  <c r="J1111" i="4"/>
  <c r="F1111" i="4"/>
  <c r="K1110" i="4"/>
  <c r="J1110" i="4"/>
  <c r="F1110" i="4"/>
  <c r="K1109" i="4"/>
  <c r="J1109" i="4"/>
  <c r="F1109" i="4"/>
  <c r="K1108" i="4"/>
  <c r="J1108" i="4"/>
  <c r="F1108" i="4"/>
  <c r="K1107" i="4"/>
  <c r="J1107" i="4"/>
  <c r="F1107" i="4"/>
  <c r="K1106" i="4"/>
  <c r="J1106" i="4"/>
  <c r="F1106" i="4"/>
  <c r="K1105" i="4"/>
  <c r="J1105" i="4"/>
  <c r="F1105" i="4"/>
  <c r="K1104" i="4"/>
  <c r="J1104" i="4"/>
  <c r="F1104" i="4"/>
  <c r="K1103" i="4"/>
  <c r="J1103" i="4"/>
  <c r="F1103" i="4"/>
  <c r="K1102" i="4"/>
  <c r="J1102" i="4"/>
  <c r="F1102" i="4"/>
  <c r="K1101" i="4"/>
  <c r="J1101" i="4"/>
  <c r="F1101" i="4"/>
  <c r="K1100" i="4"/>
  <c r="J1100" i="4"/>
  <c r="F1100" i="4"/>
  <c r="K1099" i="4"/>
  <c r="J1099" i="4"/>
  <c r="F1099" i="4"/>
  <c r="K1098" i="4"/>
  <c r="J1098" i="4"/>
  <c r="F1098" i="4"/>
  <c r="K1097" i="4"/>
  <c r="J1097" i="4"/>
  <c r="F1097" i="4"/>
  <c r="K1096" i="4"/>
  <c r="J1096" i="4"/>
  <c r="F1096" i="4"/>
  <c r="K1095" i="4"/>
  <c r="J1095" i="4"/>
  <c r="F1095" i="4"/>
  <c r="K1094" i="4"/>
  <c r="J1094" i="4"/>
  <c r="F1094" i="4"/>
  <c r="K1093" i="4"/>
  <c r="J1093" i="4"/>
  <c r="F1093" i="4"/>
  <c r="K1092" i="4"/>
  <c r="J1092" i="4"/>
  <c r="F1092" i="4"/>
  <c r="K1091" i="4"/>
  <c r="J1091" i="4"/>
  <c r="F1091" i="4"/>
  <c r="K1090" i="4"/>
  <c r="J1090" i="4"/>
  <c r="F1090" i="4"/>
  <c r="K1089" i="4"/>
  <c r="J1089" i="4"/>
  <c r="F1089" i="4"/>
  <c r="K1088" i="4"/>
  <c r="J1088" i="4"/>
  <c r="F1088" i="4"/>
  <c r="K1087" i="4"/>
  <c r="J1087" i="4"/>
  <c r="F1087" i="4"/>
  <c r="K1086" i="4"/>
  <c r="J1086" i="4"/>
  <c r="F1086" i="4"/>
  <c r="K1085" i="4"/>
  <c r="J1085" i="4"/>
  <c r="F1085" i="4"/>
  <c r="K1084" i="4"/>
  <c r="J1084" i="4"/>
  <c r="F1084" i="4"/>
  <c r="K1083" i="4"/>
  <c r="J1083" i="4"/>
  <c r="F1083" i="4"/>
  <c r="K1082" i="4"/>
  <c r="J1082" i="4"/>
  <c r="F1082" i="4"/>
  <c r="K1081" i="4"/>
  <c r="J1081" i="4"/>
  <c r="F1081" i="4"/>
  <c r="K1080" i="4"/>
  <c r="J1080" i="4"/>
  <c r="F1080" i="4"/>
  <c r="K1079" i="4"/>
  <c r="J1079" i="4"/>
  <c r="F1079" i="4"/>
  <c r="K1078" i="4"/>
  <c r="J1078" i="4"/>
  <c r="F1078" i="4"/>
  <c r="K1077" i="4"/>
  <c r="J1077" i="4"/>
  <c r="F1077" i="4"/>
  <c r="K1076" i="4"/>
  <c r="J1076" i="4"/>
  <c r="F1076" i="4"/>
  <c r="K1075" i="4"/>
  <c r="J1075" i="4"/>
  <c r="F1075" i="4"/>
  <c r="K1074" i="4"/>
  <c r="J1074" i="4"/>
  <c r="F1074" i="4"/>
  <c r="K1073" i="4"/>
  <c r="J1073" i="4"/>
  <c r="F1073" i="4"/>
  <c r="K1072" i="4"/>
  <c r="J1072" i="4"/>
  <c r="F1072" i="4"/>
  <c r="K1071" i="4"/>
  <c r="J1071" i="4"/>
  <c r="F1071" i="4"/>
  <c r="K1070" i="4"/>
  <c r="J1070" i="4"/>
  <c r="F1070" i="4"/>
  <c r="K1069" i="4"/>
  <c r="J1069" i="4"/>
  <c r="F1069" i="4"/>
  <c r="K1068" i="4"/>
  <c r="J1068" i="4"/>
  <c r="F1068" i="4"/>
  <c r="K1067" i="4"/>
  <c r="J1067" i="4"/>
  <c r="F1067" i="4"/>
  <c r="K1066" i="4"/>
  <c r="J1066" i="4"/>
  <c r="F1066" i="4"/>
  <c r="K1065" i="4"/>
  <c r="J1065" i="4"/>
  <c r="F1065" i="4"/>
  <c r="K1064" i="4"/>
  <c r="J1064" i="4"/>
  <c r="F1064" i="4"/>
  <c r="K1063" i="4"/>
  <c r="J1063" i="4"/>
  <c r="F1063" i="4"/>
  <c r="K1062" i="4"/>
  <c r="J1062" i="4"/>
  <c r="F1062" i="4"/>
  <c r="K1061" i="4"/>
  <c r="J1061" i="4"/>
  <c r="F1061" i="4"/>
  <c r="K1060" i="4"/>
  <c r="J1060" i="4"/>
  <c r="F1060" i="4"/>
  <c r="K1059" i="4"/>
  <c r="J1059" i="4"/>
  <c r="F1059" i="4"/>
  <c r="K1058" i="4"/>
  <c r="J1058" i="4"/>
  <c r="F1058" i="4"/>
  <c r="K1057" i="4"/>
  <c r="J1057" i="4"/>
  <c r="F1057" i="4"/>
  <c r="K1056" i="4"/>
  <c r="J1056" i="4"/>
  <c r="F1056" i="4"/>
  <c r="K1055" i="4"/>
  <c r="J1055" i="4"/>
  <c r="F1055" i="4"/>
  <c r="K1054" i="4"/>
  <c r="J1054" i="4"/>
  <c r="F1054" i="4"/>
  <c r="K1053" i="4"/>
  <c r="J1053" i="4"/>
  <c r="F1053" i="4"/>
  <c r="K1052" i="4"/>
  <c r="J1052" i="4"/>
  <c r="F1052" i="4"/>
  <c r="K1051" i="4"/>
  <c r="J1051" i="4"/>
  <c r="F1051" i="4"/>
  <c r="K1050" i="4"/>
  <c r="J1050" i="4"/>
  <c r="F1050" i="4"/>
  <c r="K1049" i="4"/>
  <c r="J1049" i="4"/>
  <c r="F1049" i="4"/>
  <c r="K1048" i="4"/>
  <c r="J1048" i="4"/>
  <c r="F1048" i="4"/>
  <c r="K1047" i="4"/>
  <c r="J1047" i="4"/>
  <c r="F1047" i="4"/>
  <c r="K1046" i="4"/>
  <c r="J1046" i="4"/>
  <c r="F1046" i="4"/>
  <c r="K1045" i="4"/>
  <c r="J1045" i="4"/>
  <c r="F1045" i="4"/>
  <c r="K1044" i="4"/>
  <c r="J1044" i="4"/>
  <c r="F1044" i="4"/>
  <c r="K1043" i="4"/>
  <c r="J1043" i="4"/>
  <c r="F1043" i="4"/>
  <c r="K1042" i="4"/>
  <c r="J1042" i="4"/>
  <c r="F1042" i="4"/>
  <c r="K1041" i="4"/>
  <c r="J1041" i="4"/>
  <c r="F1041" i="4"/>
  <c r="K1040" i="4"/>
  <c r="J1040" i="4"/>
  <c r="F1040" i="4"/>
  <c r="K1039" i="4"/>
  <c r="J1039" i="4"/>
  <c r="F1039" i="4"/>
  <c r="K1038" i="4"/>
  <c r="J1038" i="4"/>
  <c r="F1038" i="4"/>
  <c r="K1037" i="4"/>
  <c r="J1037" i="4"/>
  <c r="F1037" i="4"/>
  <c r="K1036" i="4"/>
  <c r="J1036" i="4"/>
  <c r="F1036" i="4"/>
  <c r="K1035" i="4"/>
  <c r="J1035" i="4"/>
  <c r="F1035" i="4"/>
  <c r="K1034" i="4"/>
  <c r="J1034" i="4"/>
  <c r="F1034" i="4"/>
  <c r="K1033" i="4"/>
  <c r="J1033" i="4"/>
  <c r="F1033" i="4"/>
  <c r="K1032" i="4"/>
  <c r="J1032" i="4"/>
  <c r="F1032" i="4"/>
  <c r="K1031" i="4"/>
  <c r="J1031" i="4"/>
  <c r="F1031" i="4"/>
  <c r="K1030" i="4"/>
  <c r="J1030" i="4"/>
  <c r="F1030" i="4"/>
  <c r="K1029" i="4"/>
  <c r="J1029" i="4"/>
  <c r="F1029" i="4"/>
  <c r="K1028" i="4"/>
  <c r="J1028" i="4"/>
  <c r="F1028" i="4"/>
  <c r="K1027" i="4"/>
  <c r="J1027" i="4"/>
  <c r="F1027" i="4"/>
  <c r="K1026" i="4"/>
  <c r="J1026" i="4"/>
  <c r="F1026" i="4"/>
  <c r="K1025" i="4"/>
  <c r="J1025" i="4"/>
  <c r="F1025" i="4"/>
  <c r="K1024" i="4"/>
  <c r="J1024" i="4"/>
  <c r="F1024" i="4"/>
  <c r="K1023" i="4"/>
  <c r="J1023" i="4"/>
  <c r="F1023" i="4"/>
  <c r="K1022" i="4"/>
  <c r="J1022" i="4"/>
  <c r="F1022" i="4"/>
  <c r="K1021" i="4"/>
  <c r="J1021" i="4"/>
  <c r="F1021" i="4"/>
  <c r="K1020" i="4"/>
  <c r="J1020" i="4"/>
  <c r="F1020" i="4"/>
  <c r="K1019" i="4"/>
  <c r="J1019" i="4"/>
  <c r="F1019" i="4"/>
  <c r="K1018" i="4"/>
  <c r="J1018" i="4"/>
  <c r="F1018" i="4"/>
  <c r="K1017" i="4"/>
  <c r="J1017" i="4"/>
  <c r="F1017" i="4"/>
  <c r="K1016" i="4"/>
  <c r="J1016" i="4"/>
  <c r="F1016" i="4"/>
  <c r="K1015" i="4"/>
  <c r="J1015" i="4"/>
  <c r="F1015" i="4"/>
  <c r="K1014" i="4"/>
  <c r="J1014" i="4"/>
  <c r="F1014" i="4"/>
  <c r="K1013" i="4"/>
  <c r="J1013" i="4"/>
  <c r="F1013" i="4"/>
  <c r="K1012" i="4"/>
  <c r="J1012" i="4"/>
  <c r="F1012" i="4"/>
  <c r="K1011" i="4"/>
  <c r="J1011" i="4"/>
  <c r="F1011" i="4"/>
  <c r="K1010" i="4"/>
  <c r="J1010" i="4"/>
  <c r="F1010" i="4"/>
  <c r="K1009" i="4"/>
  <c r="J1009" i="4"/>
  <c r="F1009" i="4"/>
  <c r="K1008" i="4"/>
  <c r="J1008" i="4"/>
  <c r="F1008" i="4"/>
  <c r="K1007" i="4"/>
  <c r="J1007" i="4"/>
  <c r="F1007" i="4"/>
  <c r="K1006" i="4"/>
  <c r="J1006" i="4"/>
  <c r="F1006" i="4"/>
  <c r="K1005" i="4"/>
  <c r="J1005" i="4"/>
  <c r="F1005" i="4"/>
  <c r="K1004" i="4"/>
  <c r="J1004" i="4"/>
  <c r="F1004" i="4"/>
  <c r="K1003" i="4"/>
  <c r="J1003" i="4"/>
  <c r="F1003" i="4"/>
  <c r="K1002" i="4"/>
  <c r="J1002" i="4"/>
  <c r="F1002" i="4"/>
  <c r="K1001" i="4"/>
  <c r="J1001" i="4"/>
  <c r="F1001" i="4"/>
  <c r="K1000" i="4"/>
  <c r="J1000" i="4"/>
  <c r="F1000" i="4"/>
  <c r="K999" i="4"/>
  <c r="J999" i="4"/>
  <c r="F999" i="4"/>
  <c r="K998" i="4"/>
  <c r="J998" i="4"/>
  <c r="F998" i="4"/>
  <c r="K997" i="4"/>
  <c r="J997" i="4"/>
  <c r="F997" i="4"/>
  <c r="K996" i="4"/>
  <c r="J996" i="4"/>
  <c r="F996" i="4"/>
  <c r="K995" i="4"/>
  <c r="J995" i="4"/>
  <c r="F995" i="4"/>
  <c r="K994" i="4"/>
  <c r="J994" i="4"/>
  <c r="F994" i="4"/>
  <c r="K993" i="4"/>
  <c r="J993" i="4"/>
  <c r="F993" i="4"/>
  <c r="K992" i="4"/>
  <c r="J992" i="4"/>
  <c r="F992" i="4"/>
  <c r="K991" i="4"/>
  <c r="J991" i="4"/>
  <c r="F991" i="4"/>
  <c r="K990" i="4"/>
  <c r="J990" i="4"/>
  <c r="F990" i="4"/>
  <c r="K989" i="4"/>
  <c r="J989" i="4"/>
  <c r="F989" i="4"/>
  <c r="K988" i="4"/>
  <c r="J988" i="4"/>
  <c r="F988" i="4"/>
  <c r="K987" i="4"/>
  <c r="J987" i="4"/>
  <c r="F987" i="4"/>
  <c r="K986" i="4"/>
  <c r="J986" i="4"/>
  <c r="F986" i="4"/>
  <c r="K985" i="4"/>
  <c r="J985" i="4"/>
  <c r="F985" i="4"/>
  <c r="K984" i="4"/>
  <c r="J984" i="4"/>
  <c r="F984" i="4"/>
  <c r="K983" i="4"/>
  <c r="J983" i="4"/>
  <c r="F983" i="4"/>
  <c r="K982" i="4"/>
  <c r="J982" i="4"/>
  <c r="F982" i="4"/>
  <c r="K981" i="4"/>
  <c r="J981" i="4"/>
  <c r="F981" i="4"/>
  <c r="K980" i="4"/>
  <c r="J980" i="4"/>
  <c r="F980" i="4"/>
  <c r="K979" i="4"/>
  <c r="J979" i="4"/>
  <c r="F979" i="4"/>
  <c r="K978" i="4"/>
  <c r="J978" i="4"/>
  <c r="F978" i="4"/>
  <c r="K977" i="4"/>
  <c r="J977" i="4"/>
  <c r="F977" i="4"/>
  <c r="K976" i="4"/>
  <c r="J976" i="4"/>
  <c r="F976" i="4"/>
  <c r="K975" i="4"/>
  <c r="J975" i="4"/>
  <c r="F975" i="4"/>
  <c r="K974" i="4"/>
  <c r="J974" i="4"/>
  <c r="F974" i="4"/>
  <c r="K973" i="4"/>
  <c r="J973" i="4"/>
  <c r="F973" i="4"/>
  <c r="K972" i="4"/>
  <c r="J972" i="4"/>
  <c r="F972" i="4"/>
  <c r="K971" i="4"/>
  <c r="J971" i="4"/>
  <c r="F971" i="4"/>
  <c r="K970" i="4"/>
  <c r="J970" i="4"/>
  <c r="F970" i="4"/>
  <c r="K969" i="4"/>
  <c r="J969" i="4"/>
  <c r="F969" i="4"/>
  <c r="K968" i="4"/>
  <c r="J968" i="4"/>
  <c r="F968" i="4"/>
  <c r="K967" i="4"/>
  <c r="J967" i="4"/>
  <c r="F967" i="4"/>
  <c r="K966" i="4"/>
  <c r="J966" i="4"/>
  <c r="F966" i="4"/>
  <c r="K965" i="4"/>
  <c r="J965" i="4"/>
  <c r="F965" i="4"/>
  <c r="K964" i="4"/>
  <c r="J964" i="4"/>
  <c r="F964" i="4"/>
  <c r="K963" i="4"/>
  <c r="J963" i="4"/>
  <c r="F963" i="4"/>
  <c r="K962" i="4"/>
  <c r="J962" i="4"/>
  <c r="F962" i="4"/>
  <c r="K961" i="4"/>
  <c r="J961" i="4"/>
  <c r="F961" i="4"/>
  <c r="K960" i="4"/>
  <c r="J960" i="4"/>
  <c r="F960" i="4"/>
  <c r="K959" i="4"/>
  <c r="J959" i="4"/>
  <c r="F959" i="4"/>
  <c r="K958" i="4"/>
  <c r="J958" i="4"/>
  <c r="F958" i="4"/>
  <c r="K957" i="4"/>
  <c r="J957" i="4"/>
  <c r="F957" i="4"/>
  <c r="K956" i="4"/>
  <c r="J956" i="4"/>
  <c r="F956" i="4"/>
  <c r="K955" i="4"/>
  <c r="J955" i="4"/>
  <c r="K954" i="4"/>
  <c r="J954" i="4"/>
  <c r="F954" i="4"/>
  <c r="K953" i="4"/>
  <c r="J953" i="4"/>
  <c r="F953" i="4"/>
  <c r="K952" i="4"/>
  <c r="J952" i="4"/>
  <c r="F952" i="4"/>
  <c r="K951" i="4"/>
  <c r="J951" i="4"/>
  <c r="F951" i="4"/>
  <c r="K950" i="4"/>
  <c r="J950" i="4"/>
  <c r="F950" i="4"/>
  <c r="K949" i="4"/>
  <c r="J949" i="4"/>
  <c r="F949" i="4"/>
  <c r="K948" i="4"/>
  <c r="J948" i="4"/>
  <c r="F948" i="4"/>
  <c r="K947" i="4"/>
  <c r="J947" i="4"/>
  <c r="F947" i="4"/>
  <c r="K946" i="4"/>
  <c r="J946" i="4"/>
  <c r="F946" i="4"/>
  <c r="K945" i="4"/>
  <c r="J945" i="4"/>
  <c r="F945" i="4"/>
  <c r="K944" i="4"/>
  <c r="J944" i="4"/>
  <c r="F944" i="4"/>
  <c r="K943" i="4"/>
  <c r="J943" i="4"/>
  <c r="F943" i="4"/>
  <c r="K942" i="4"/>
  <c r="J942" i="4"/>
  <c r="F942" i="4"/>
  <c r="K941" i="4"/>
  <c r="J941" i="4"/>
  <c r="F941" i="4"/>
  <c r="K940" i="4"/>
  <c r="J940" i="4"/>
  <c r="F940" i="4"/>
  <c r="K939" i="4"/>
  <c r="J939" i="4"/>
  <c r="F939" i="4"/>
  <c r="K938" i="4"/>
  <c r="J938" i="4"/>
  <c r="F938" i="4"/>
  <c r="K937" i="4"/>
  <c r="J937" i="4"/>
  <c r="F937" i="4"/>
  <c r="K936" i="4"/>
  <c r="J936" i="4"/>
  <c r="F936" i="4"/>
  <c r="K935" i="4"/>
  <c r="J935" i="4"/>
  <c r="F935" i="4"/>
  <c r="K934" i="4"/>
  <c r="J934" i="4"/>
  <c r="F934" i="4"/>
  <c r="K933" i="4"/>
  <c r="J933" i="4"/>
  <c r="F933" i="4"/>
  <c r="K932" i="4"/>
  <c r="J932" i="4"/>
  <c r="F932" i="4"/>
  <c r="K931" i="4"/>
  <c r="J931" i="4"/>
  <c r="F931" i="4"/>
  <c r="K930" i="4"/>
  <c r="J930" i="4"/>
  <c r="F930" i="4"/>
  <c r="K929" i="4"/>
  <c r="J929" i="4"/>
  <c r="F929" i="4"/>
  <c r="K928" i="4"/>
  <c r="J928" i="4"/>
  <c r="F928" i="4"/>
  <c r="K927" i="4"/>
  <c r="J927" i="4"/>
  <c r="F927" i="4"/>
  <c r="K926" i="4"/>
  <c r="J926" i="4"/>
  <c r="F926" i="4"/>
  <c r="K925" i="4"/>
  <c r="J925" i="4"/>
  <c r="F925" i="4"/>
  <c r="K924" i="4"/>
  <c r="J924" i="4"/>
  <c r="F924" i="4"/>
  <c r="K923" i="4"/>
  <c r="J923" i="4"/>
  <c r="F923" i="4"/>
  <c r="K922" i="4"/>
  <c r="J922" i="4"/>
  <c r="F922" i="4"/>
  <c r="K921" i="4"/>
  <c r="J921" i="4"/>
  <c r="F921" i="4"/>
  <c r="K920" i="4"/>
  <c r="J920" i="4"/>
  <c r="F920" i="4"/>
  <c r="K919" i="4"/>
  <c r="J919" i="4"/>
  <c r="F919" i="4"/>
  <c r="K918" i="4"/>
  <c r="J918" i="4"/>
  <c r="F918" i="4"/>
  <c r="K917" i="4"/>
  <c r="J917" i="4"/>
  <c r="F917" i="4"/>
  <c r="K916" i="4"/>
  <c r="J916" i="4"/>
  <c r="F916" i="4"/>
  <c r="K915" i="4"/>
  <c r="J915" i="4"/>
  <c r="F915" i="4"/>
  <c r="K914" i="4"/>
  <c r="J914" i="4"/>
  <c r="F914" i="4"/>
  <c r="K913" i="4"/>
  <c r="J913" i="4"/>
  <c r="F913" i="4"/>
  <c r="K912" i="4"/>
  <c r="J912" i="4"/>
  <c r="F912" i="4"/>
  <c r="K911" i="4"/>
  <c r="J911" i="4"/>
  <c r="F911" i="4"/>
  <c r="K910" i="4"/>
  <c r="J910" i="4"/>
  <c r="F910" i="4"/>
  <c r="K909" i="4"/>
  <c r="J909" i="4"/>
  <c r="F909" i="4"/>
  <c r="K908" i="4"/>
  <c r="J908" i="4"/>
  <c r="F908" i="4"/>
  <c r="K907" i="4"/>
  <c r="J907" i="4"/>
  <c r="F907" i="4"/>
  <c r="K906" i="4"/>
  <c r="J906" i="4"/>
  <c r="F906" i="4"/>
  <c r="K905" i="4"/>
  <c r="J905" i="4"/>
  <c r="F905" i="4"/>
  <c r="K904" i="4"/>
  <c r="J904" i="4"/>
  <c r="F904" i="4"/>
  <c r="K903" i="4"/>
  <c r="J903" i="4"/>
  <c r="F903" i="4"/>
  <c r="K902" i="4"/>
  <c r="J902" i="4"/>
  <c r="F902" i="4"/>
  <c r="K901" i="4"/>
  <c r="J901" i="4"/>
  <c r="F901" i="4"/>
  <c r="K900" i="4"/>
  <c r="J900" i="4"/>
  <c r="F900" i="4"/>
  <c r="K899" i="4"/>
  <c r="J899" i="4"/>
  <c r="F899" i="4"/>
  <c r="K898" i="4"/>
  <c r="J898" i="4"/>
  <c r="F898" i="4"/>
  <c r="K897" i="4"/>
  <c r="J897" i="4"/>
  <c r="F897" i="4"/>
  <c r="K896" i="4"/>
  <c r="J896" i="4"/>
  <c r="F896" i="4"/>
  <c r="K895" i="4"/>
  <c r="J895" i="4"/>
  <c r="F895" i="4"/>
  <c r="K894" i="4"/>
  <c r="J894" i="4"/>
  <c r="F894" i="4"/>
  <c r="K893" i="4"/>
  <c r="J893" i="4"/>
  <c r="F893" i="4"/>
  <c r="K892" i="4"/>
  <c r="J892" i="4"/>
  <c r="F892" i="4"/>
  <c r="K891" i="4"/>
  <c r="J891" i="4"/>
  <c r="F891" i="4"/>
  <c r="K890" i="4"/>
  <c r="J890" i="4"/>
  <c r="F890" i="4"/>
  <c r="K889" i="4"/>
  <c r="J889" i="4"/>
  <c r="F889" i="4"/>
  <c r="K888" i="4"/>
  <c r="J888" i="4"/>
  <c r="F888" i="4"/>
  <c r="K887" i="4"/>
  <c r="J887" i="4"/>
  <c r="F887" i="4"/>
  <c r="K886" i="4"/>
  <c r="J886" i="4"/>
  <c r="F886" i="4"/>
  <c r="K885" i="4"/>
  <c r="J885" i="4"/>
  <c r="F885" i="4"/>
  <c r="K884" i="4"/>
  <c r="J884" i="4"/>
  <c r="F884" i="4"/>
  <c r="K883" i="4"/>
  <c r="J883" i="4"/>
  <c r="F883" i="4"/>
  <c r="K882" i="4"/>
  <c r="J882" i="4"/>
  <c r="F882" i="4"/>
  <c r="K881" i="4"/>
  <c r="J881" i="4"/>
  <c r="F881" i="4"/>
  <c r="K880" i="4"/>
  <c r="J880" i="4"/>
  <c r="F880" i="4"/>
  <c r="K879" i="4"/>
  <c r="J879" i="4"/>
  <c r="F879" i="4"/>
  <c r="K878" i="4"/>
  <c r="J878" i="4"/>
  <c r="F878" i="4"/>
  <c r="K877" i="4"/>
  <c r="J877" i="4"/>
  <c r="F877" i="4"/>
  <c r="K876" i="4"/>
  <c r="J876" i="4"/>
  <c r="F876" i="4"/>
  <c r="K875" i="4"/>
  <c r="J875" i="4"/>
  <c r="F875" i="4"/>
  <c r="K874" i="4"/>
  <c r="J874" i="4"/>
  <c r="F874" i="4"/>
  <c r="K873" i="4"/>
  <c r="J873" i="4"/>
  <c r="F873" i="4"/>
  <c r="K872" i="4"/>
  <c r="J872" i="4"/>
  <c r="F872" i="4"/>
  <c r="K871" i="4"/>
  <c r="J871" i="4"/>
  <c r="F871" i="4"/>
  <c r="K870" i="4"/>
  <c r="J870" i="4"/>
  <c r="F870" i="4"/>
  <c r="K869" i="4"/>
  <c r="J869" i="4"/>
  <c r="F869" i="4"/>
  <c r="K868" i="4"/>
  <c r="J868" i="4"/>
  <c r="F868" i="4"/>
  <c r="K867" i="4"/>
  <c r="J867" i="4"/>
  <c r="F867" i="4"/>
  <c r="K866" i="4"/>
  <c r="J866" i="4"/>
  <c r="F866" i="4"/>
  <c r="K865" i="4"/>
  <c r="J865" i="4"/>
  <c r="F865" i="4"/>
  <c r="K864" i="4"/>
  <c r="J864" i="4"/>
  <c r="F864" i="4"/>
  <c r="K863" i="4"/>
  <c r="J863" i="4"/>
  <c r="F863" i="4"/>
  <c r="K862" i="4"/>
  <c r="J862" i="4"/>
  <c r="F862" i="4"/>
  <c r="K861" i="4"/>
  <c r="J861" i="4"/>
  <c r="F861" i="4"/>
  <c r="K860" i="4"/>
  <c r="J860" i="4"/>
  <c r="F860" i="4"/>
  <c r="K859" i="4"/>
  <c r="J859" i="4"/>
  <c r="F859" i="4"/>
  <c r="K858" i="4"/>
  <c r="J858" i="4"/>
  <c r="F858" i="4"/>
  <c r="K857" i="4"/>
  <c r="J857" i="4"/>
  <c r="F857" i="4"/>
  <c r="K856" i="4"/>
  <c r="J856" i="4"/>
  <c r="F856" i="4"/>
  <c r="K855" i="4"/>
  <c r="J855" i="4"/>
  <c r="F855" i="4"/>
  <c r="K854" i="4"/>
  <c r="J854" i="4"/>
  <c r="F854" i="4"/>
  <c r="K853" i="4"/>
  <c r="J853" i="4"/>
  <c r="F853" i="4"/>
  <c r="K852" i="4"/>
  <c r="J852" i="4"/>
  <c r="F852" i="4"/>
  <c r="K851" i="4"/>
  <c r="J851" i="4"/>
  <c r="F851" i="4"/>
  <c r="K850" i="4"/>
  <c r="J850" i="4"/>
  <c r="F850" i="4"/>
  <c r="K849" i="4"/>
  <c r="J849" i="4"/>
  <c r="F849" i="4"/>
  <c r="K848" i="4"/>
  <c r="J848" i="4"/>
  <c r="F848" i="4"/>
  <c r="K847" i="4"/>
  <c r="J847" i="4"/>
  <c r="F847" i="4"/>
  <c r="K846" i="4"/>
  <c r="J846" i="4"/>
  <c r="F846" i="4"/>
  <c r="K845" i="4"/>
  <c r="J845" i="4"/>
  <c r="F845" i="4"/>
  <c r="K844" i="4"/>
  <c r="J844" i="4"/>
  <c r="F844" i="4"/>
  <c r="K843" i="4"/>
  <c r="J843" i="4"/>
  <c r="F843" i="4"/>
  <c r="K842" i="4"/>
  <c r="J842" i="4"/>
  <c r="F842" i="4"/>
  <c r="K841" i="4"/>
  <c r="J841" i="4"/>
  <c r="F841" i="4"/>
  <c r="K840" i="4"/>
  <c r="J840" i="4"/>
  <c r="F840" i="4"/>
  <c r="K839" i="4"/>
  <c r="J839" i="4"/>
  <c r="F839" i="4"/>
  <c r="K838" i="4"/>
  <c r="J838" i="4"/>
  <c r="F838" i="4"/>
  <c r="K837" i="4"/>
  <c r="J837" i="4"/>
  <c r="F837" i="4"/>
  <c r="K836" i="4"/>
  <c r="J836" i="4"/>
  <c r="F836" i="4"/>
  <c r="K835" i="4"/>
  <c r="J835" i="4"/>
  <c r="F835" i="4"/>
  <c r="K834" i="4"/>
  <c r="J834" i="4"/>
  <c r="F834" i="4"/>
  <c r="K833" i="4"/>
  <c r="J833" i="4"/>
  <c r="F833" i="4"/>
  <c r="K832" i="4"/>
  <c r="J832" i="4"/>
  <c r="F832" i="4"/>
  <c r="K831" i="4"/>
  <c r="J831" i="4"/>
  <c r="F831" i="4"/>
  <c r="K830" i="4"/>
  <c r="J830" i="4"/>
  <c r="F830" i="4"/>
  <c r="K829" i="4"/>
  <c r="J829" i="4"/>
  <c r="F829" i="4"/>
  <c r="K828" i="4"/>
  <c r="J828" i="4"/>
  <c r="F828" i="4"/>
  <c r="K827" i="4"/>
  <c r="J827" i="4"/>
  <c r="F827" i="4"/>
  <c r="K826" i="4"/>
  <c r="J826" i="4"/>
  <c r="F826" i="4"/>
  <c r="K825" i="4"/>
  <c r="J825" i="4"/>
  <c r="F825" i="4"/>
  <c r="K824" i="4"/>
  <c r="J824" i="4"/>
  <c r="F824" i="4"/>
  <c r="K823" i="4"/>
  <c r="J823" i="4"/>
  <c r="F823" i="4"/>
  <c r="K822" i="4"/>
  <c r="J822" i="4"/>
  <c r="F822" i="4"/>
  <c r="K821" i="4"/>
  <c r="J821" i="4"/>
  <c r="F821" i="4"/>
  <c r="K820" i="4"/>
  <c r="J820" i="4"/>
  <c r="F820" i="4"/>
  <c r="K819" i="4"/>
  <c r="J819" i="4"/>
  <c r="F819" i="4"/>
  <c r="K818" i="4"/>
  <c r="J818" i="4"/>
  <c r="F818" i="4"/>
  <c r="K817" i="4"/>
  <c r="J817" i="4"/>
  <c r="F817" i="4"/>
  <c r="K816" i="4"/>
  <c r="J816" i="4"/>
  <c r="F816" i="4"/>
  <c r="K815" i="4"/>
  <c r="J815" i="4"/>
  <c r="F815" i="4"/>
  <c r="K814" i="4"/>
  <c r="J814" i="4"/>
  <c r="F814" i="4"/>
  <c r="K813" i="4"/>
  <c r="J813" i="4"/>
  <c r="F813" i="4"/>
  <c r="K812" i="4"/>
  <c r="J812" i="4"/>
  <c r="F812" i="4"/>
  <c r="K811" i="4"/>
  <c r="J811" i="4"/>
  <c r="F811" i="4"/>
  <c r="K810" i="4"/>
  <c r="J810" i="4"/>
  <c r="F810" i="4"/>
  <c r="K809" i="4"/>
  <c r="J809" i="4"/>
  <c r="F809" i="4"/>
  <c r="K808" i="4"/>
  <c r="J808" i="4"/>
  <c r="F808" i="4"/>
  <c r="K807" i="4"/>
  <c r="J807" i="4"/>
  <c r="F807" i="4"/>
  <c r="K806" i="4"/>
  <c r="J806" i="4"/>
  <c r="F806" i="4"/>
  <c r="K805" i="4"/>
  <c r="J805" i="4"/>
  <c r="F805" i="4"/>
  <c r="K804" i="4"/>
  <c r="J804" i="4"/>
  <c r="F804" i="4"/>
  <c r="K803" i="4"/>
  <c r="J803" i="4"/>
  <c r="F803" i="4"/>
  <c r="K802" i="4"/>
  <c r="J802" i="4"/>
  <c r="F802" i="4"/>
  <c r="K801" i="4"/>
  <c r="J801" i="4"/>
  <c r="F801" i="4"/>
  <c r="K800" i="4"/>
  <c r="J800" i="4"/>
  <c r="F800" i="4"/>
  <c r="K799" i="4"/>
  <c r="J799" i="4"/>
  <c r="F799" i="4"/>
  <c r="K798" i="4"/>
  <c r="J798" i="4"/>
  <c r="F798" i="4"/>
  <c r="K797" i="4"/>
  <c r="J797" i="4"/>
  <c r="F797" i="4"/>
  <c r="K796" i="4"/>
  <c r="J796" i="4"/>
  <c r="F796" i="4"/>
  <c r="K795" i="4"/>
  <c r="J795" i="4"/>
  <c r="F795" i="4"/>
  <c r="K794" i="4"/>
  <c r="J794" i="4"/>
  <c r="F794" i="4"/>
  <c r="K793" i="4"/>
  <c r="J793" i="4"/>
  <c r="F793" i="4"/>
  <c r="K792" i="4"/>
  <c r="J792" i="4"/>
  <c r="F792" i="4"/>
  <c r="K791" i="4"/>
  <c r="J791" i="4"/>
  <c r="F791" i="4"/>
  <c r="K790" i="4"/>
  <c r="J790" i="4"/>
  <c r="F790" i="4"/>
  <c r="K789" i="4"/>
  <c r="J789" i="4"/>
  <c r="F789" i="4"/>
  <c r="K788" i="4"/>
  <c r="J788" i="4"/>
  <c r="F788" i="4"/>
  <c r="K787" i="4"/>
  <c r="J787" i="4"/>
  <c r="F787" i="4"/>
  <c r="K786" i="4"/>
  <c r="J786" i="4"/>
  <c r="F786" i="4"/>
  <c r="K785" i="4"/>
  <c r="J785" i="4"/>
  <c r="F785" i="4"/>
  <c r="K784" i="4"/>
  <c r="J784" i="4"/>
  <c r="F784" i="4"/>
  <c r="K783" i="4"/>
  <c r="J783" i="4"/>
  <c r="F783" i="4"/>
  <c r="K782" i="4"/>
  <c r="J782" i="4"/>
  <c r="F782" i="4"/>
  <c r="K781" i="4"/>
  <c r="J781" i="4"/>
  <c r="F781" i="4"/>
  <c r="K780" i="4"/>
  <c r="J780" i="4"/>
  <c r="F780" i="4"/>
  <c r="K779" i="4"/>
  <c r="J779" i="4"/>
  <c r="F779" i="4"/>
  <c r="K778" i="4"/>
  <c r="J778" i="4"/>
  <c r="F778" i="4"/>
  <c r="K777" i="4"/>
  <c r="J777" i="4"/>
  <c r="F777" i="4"/>
  <c r="K776" i="4"/>
  <c r="J776" i="4"/>
  <c r="F776" i="4"/>
  <c r="K775" i="4"/>
  <c r="J775" i="4"/>
  <c r="F775" i="4"/>
  <c r="K774" i="4"/>
  <c r="J774" i="4"/>
  <c r="F774" i="4"/>
  <c r="K773" i="4"/>
  <c r="J773" i="4"/>
  <c r="F773" i="4"/>
  <c r="K772" i="4"/>
  <c r="J772" i="4"/>
  <c r="F772" i="4"/>
  <c r="K771" i="4"/>
  <c r="J771" i="4"/>
  <c r="F771" i="4"/>
  <c r="K770" i="4"/>
  <c r="J770" i="4"/>
  <c r="F770" i="4"/>
  <c r="K769" i="4"/>
  <c r="J769" i="4"/>
  <c r="F769" i="4"/>
  <c r="K768" i="4"/>
  <c r="J768" i="4"/>
  <c r="F768" i="4"/>
  <c r="K767" i="4"/>
  <c r="J767" i="4"/>
  <c r="F767" i="4"/>
  <c r="K766" i="4"/>
  <c r="J766" i="4"/>
  <c r="F766" i="4"/>
  <c r="K765" i="4"/>
  <c r="J765" i="4"/>
  <c r="F765" i="4"/>
  <c r="K764" i="4"/>
  <c r="J764" i="4"/>
  <c r="F764" i="4"/>
  <c r="K763" i="4"/>
  <c r="J763" i="4"/>
  <c r="F763" i="4"/>
  <c r="K762" i="4"/>
  <c r="J762" i="4"/>
  <c r="F762" i="4"/>
  <c r="K761" i="4"/>
  <c r="J761" i="4"/>
  <c r="F761" i="4"/>
  <c r="K760" i="4"/>
  <c r="J760" i="4"/>
  <c r="F760" i="4"/>
  <c r="K759" i="4"/>
  <c r="J759" i="4"/>
  <c r="F759" i="4"/>
  <c r="K758" i="4"/>
  <c r="J758" i="4"/>
  <c r="F758" i="4"/>
  <c r="K757" i="4"/>
  <c r="J757" i="4"/>
  <c r="F757" i="4"/>
  <c r="K756" i="4"/>
  <c r="J756" i="4"/>
  <c r="F756" i="4"/>
  <c r="K755" i="4"/>
  <c r="J755" i="4"/>
  <c r="F755" i="4"/>
  <c r="K754" i="4"/>
  <c r="J754" i="4"/>
  <c r="F754" i="4"/>
  <c r="K753" i="4"/>
  <c r="J753" i="4"/>
  <c r="F753" i="4"/>
  <c r="K752" i="4"/>
  <c r="J752" i="4"/>
  <c r="F752" i="4"/>
  <c r="K751" i="4"/>
  <c r="J751" i="4"/>
  <c r="F751" i="4"/>
  <c r="K750" i="4"/>
  <c r="J750" i="4"/>
  <c r="F750" i="4"/>
  <c r="K749" i="4"/>
  <c r="J749" i="4"/>
  <c r="F749" i="4"/>
  <c r="K748" i="4"/>
  <c r="J748" i="4"/>
  <c r="F748" i="4"/>
  <c r="K747" i="4"/>
  <c r="J747" i="4"/>
  <c r="F747" i="4"/>
  <c r="K746" i="4"/>
  <c r="J746" i="4"/>
  <c r="F746" i="4"/>
  <c r="K745" i="4"/>
  <c r="J745" i="4"/>
  <c r="F745" i="4"/>
  <c r="K744" i="4"/>
  <c r="J744" i="4"/>
  <c r="F744" i="4"/>
  <c r="K743" i="4"/>
  <c r="J743" i="4"/>
  <c r="F743" i="4"/>
  <c r="K742" i="4"/>
  <c r="J742" i="4"/>
  <c r="F742" i="4"/>
  <c r="K741" i="4"/>
  <c r="J741" i="4"/>
  <c r="F741" i="4"/>
  <c r="K740" i="4"/>
  <c r="J740" i="4"/>
  <c r="F740" i="4"/>
  <c r="K739" i="4"/>
  <c r="J739" i="4"/>
  <c r="F739" i="4"/>
  <c r="K738" i="4"/>
  <c r="J738" i="4"/>
  <c r="F738" i="4"/>
  <c r="K737" i="4"/>
  <c r="J737" i="4"/>
  <c r="F737" i="4"/>
  <c r="K736" i="4"/>
  <c r="J736" i="4"/>
  <c r="F736" i="4"/>
  <c r="K735" i="4"/>
  <c r="J735" i="4"/>
  <c r="F735" i="4"/>
  <c r="K734" i="4"/>
  <c r="J734" i="4"/>
  <c r="F734" i="4"/>
  <c r="K733" i="4"/>
  <c r="J733" i="4"/>
  <c r="F733" i="4"/>
  <c r="K732" i="4"/>
  <c r="J732" i="4"/>
  <c r="F732" i="4"/>
  <c r="K731" i="4"/>
  <c r="J731" i="4"/>
  <c r="F731" i="4"/>
  <c r="K730" i="4"/>
  <c r="J730" i="4"/>
  <c r="F730" i="4"/>
  <c r="K729" i="4"/>
  <c r="J729" i="4"/>
  <c r="F729" i="4"/>
  <c r="K728" i="4"/>
  <c r="J728" i="4"/>
  <c r="F728" i="4"/>
  <c r="K727" i="4"/>
  <c r="J727" i="4"/>
  <c r="F727" i="4"/>
  <c r="K726" i="4"/>
  <c r="J726" i="4"/>
  <c r="F726" i="4"/>
  <c r="K725" i="4"/>
  <c r="J725" i="4"/>
  <c r="F725" i="4"/>
  <c r="K724" i="4"/>
  <c r="J724" i="4"/>
  <c r="F724" i="4"/>
  <c r="K723" i="4"/>
  <c r="J723" i="4"/>
  <c r="F723" i="4"/>
  <c r="K722" i="4"/>
  <c r="J722" i="4"/>
  <c r="F722" i="4"/>
  <c r="K721" i="4"/>
  <c r="J721" i="4"/>
  <c r="F721" i="4"/>
  <c r="K720" i="4"/>
  <c r="J720" i="4"/>
  <c r="F720" i="4"/>
  <c r="K719" i="4"/>
  <c r="J719" i="4"/>
  <c r="F719" i="4"/>
  <c r="K718" i="4"/>
  <c r="J718" i="4"/>
  <c r="F718" i="4"/>
  <c r="K717" i="4"/>
  <c r="J717" i="4"/>
  <c r="F717" i="4"/>
  <c r="K716" i="4"/>
  <c r="J716" i="4"/>
  <c r="F716" i="4"/>
  <c r="K715" i="4"/>
  <c r="J715" i="4"/>
  <c r="F715" i="4"/>
  <c r="K714" i="4"/>
  <c r="J714" i="4"/>
  <c r="F714" i="4"/>
  <c r="K713" i="4"/>
  <c r="J713" i="4"/>
  <c r="F713" i="4"/>
  <c r="K712" i="4"/>
  <c r="J712" i="4"/>
  <c r="F712" i="4"/>
  <c r="K711" i="4"/>
  <c r="J711" i="4"/>
  <c r="F711" i="4"/>
  <c r="K710" i="4"/>
  <c r="J710" i="4"/>
  <c r="F710" i="4"/>
  <c r="K709" i="4"/>
  <c r="J709" i="4"/>
  <c r="F709" i="4"/>
  <c r="K708" i="4"/>
  <c r="J708" i="4"/>
  <c r="F708" i="4"/>
  <c r="K707" i="4"/>
  <c r="J707" i="4"/>
  <c r="F707" i="4"/>
  <c r="K706" i="4"/>
  <c r="J706" i="4"/>
  <c r="F706" i="4"/>
  <c r="K705" i="4"/>
  <c r="J705" i="4"/>
  <c r="F705" i="4"/>
  <c r="K704" i="4"/>
  <c r="J704" i="4"/>
  <c r="F704" i="4"/>
  <c r="K703" i="4"/>
  <c r="J703" i="4"/>
  <c r="F703" i="4"/>
  <c r="K702" i="4"/>
  <c r="J702" i="4"/>
  <c r="F702" i="4"/>
  <c r="K701" i="4"/>
  <c r="J701" i="4"/>
  <c r="F701" i="4"/>
  <c r="K700" i="4"/>
  <c r="J700" i="4"/>
  <c r="F700" i="4"/>
  <c r="K699" i="4"/>
  <c r="J699" i="4"/>
  <c r="F699" i="4"/>
  <c r="K698" i="4"/>
  <c r="J698" i="4"/>
  <c r="F698" i="4"/>
  <c r="K697" i="4"/>
  <c r="J697" i="4"/>
  <c r="F697" i="4"/>
  <c r="K696" i="4"/>
  <c r="J696" i="4"/>
  <c r="F696" i="4"/>
  <c r="K695" i="4"/>
  <c r="J695" i="4"/>
  <c r="F695" i="4"/>
  <c r="K694" i="4"/>
  <c r="J694" i="4"/>
  <c r="F694" i="4"/>
  <c r="K693" i="4"/>
  <c r="J693" i="4"/>
  <c r="F693" i="4"/>
  <c r="K692" i="4"/>
  <c r="J692" i="4"/>
  <c r="F692" i="4"/>
  <c r="K691" i="4"/>
  <c r="J691" i="4"/>
  <c r="F691" i="4"/>
  <c r="K690" i="4"/>
  <c r="J690" i="4"/>
  <c r="F690" i="4"/>
  <c r="K689" i="4"/>
  <c r="J689" i="4"/>
  <c r="F689" i="4"/>
  <c r="K688" i="4"/>
  <c r="J688" i="4"/>
  <c r="F688" i="4"/>
  <c r="K687" i="4"/>
  <c r="J687" i="4"/>
  <c r="F687" i="4"/>
  <c r="K686" i="4"/>
  <c r="J686" i="4"/>
  <c r="F686" i="4"/>
  <c r="K685" i="4"/>
  <c r="J685" i="4"/>
  <c r="F685" i="4"/>
  <c r="K684" i="4"/>
  <c r="J684" i="4"/>
  <c r="F684" i="4"/>
  <c r="K683" i="4"/>
  <c r="J683" i="4"/>
  <c r="F683" i="4"/>
  <c r="K682" i="4"/>
  <c r="J682" i="4"/>
  <c r="F682" i="4"/>
  <c r="K681" i="4"/>
  <c r="J681" i="4"/>
  <c r="F681" i="4"/>
  <c r="K680" i="4"/>
  <c r="J680" i="4"/>
  <c r="F680" i="4"/>
  <c r="K679" i="4"/>
  <c r="J679" i="4"/>
  <c r="F679" i="4"/>
  <c r="K678" i="4"/>
  <c r="J678" i="4"/>
  <c r="F678" i="4"/>
  <c r="K677" i="4"/>
  <c r="J677" i="4"/>
  <c r="F677" i="4"/>
  <c r="K676" i="4"/>
  <c r="J676" i="4"/>
  <c r="F676" i="4"/>
  <c r="K675" i="4"/>
  <c r="J675" i="4"/>
  <c r="F675" i="4"/>
  <c r="K674" i="4"/>
  <c r="J674" i="4"/>
  <c r="F674" i="4"/>
  <c r="K673" i="4"/>
  <c r="J673" i="4"/>
  <c r="F673" i="4"/>
  <c r="K672" i="4"/>
  <c r="J672" i="4"/>
  <c r="F672" i="4"/>
  <c r="K671" i="4"/>
  <c r="J671" i="4"/>
  <c r="F671" i="4"/>
  <c r="K670" i="4"/>
  <c r="J670" i="4"/>
  <c r="F670" i="4"/>
  <c r="K669" i="4"/>
  <c r="J669" i="4"/>
  <c r="F669" i="4"/>
  <c r="K668" i="4"/>
  <c r="J668" i="4"/>
  <c r="F668" i="4"/>
  <c r="K667" i="4"/>
  <c r="J667" i="4"/>
  <c r="F667" i="4"/>
  <c r="K666" i="4"/>
  <c r="J666" i="4"/>
  <c r="F666" i="4"/>
  <c r="K665" i="4"/>
  <c r="J665" i="4"/>
  <c r="F665" i="4"/>
  <c r="K664" i="4"/>
  <c r="J664" i="4"/>
  <c r="F664" i="4"/>
  <c r="K663" i="4"/>
  <c r="J663" i="4"/>
  <c r="F663" i="4"/>
  <c r="K662" i="4"/>
  <c r="J662" i="4"/>
  <c r="F662" i="4"/>
  <c r="K661" i="4"/>
  <c r="J661" i="4"/>
  <c r="F661" i="4"/>
  <c r="K660" i="4"/>
  <c r="J660" i="4"/>
  <c r="F660" i="4"/>
  <c r="K659" i="4"/>
  <c r="J659" i="4"/>
  <c r="F659" i="4"/>
  <c r="K658" i="4"/>
  <c r="J658" i="4"/>
  <c r="F658" i="4"/>
  <c r="K657" i="4"/>
  <c r="J657" i="4"/>
  <c r="F657" i="4"/>
  <c r="K656" i="4"/>
  <c r="J656" i="4"/>
  <c r="F656" i="4"/>
  <c r="K655" i="4"/>
  <c r="J655" i="4"/>
  <c r="F655" i="4"/>
  <c r="K654" i="4"/>
  <c r="J654" i="4"/>
  <c r="F654" i="4"/>
  <c r="K653" i="4"/>
  <c r="J653" i="4"/>
  <c r="F653" i="4"/>
  <c r="K652" i="4"/>
  <c r="J652" i="4"/>
  <c r="F652" i="4"/>
  <c r="K651" i="4"/>
  <c r="J651" i="4"/>
  <c r="F651" i="4"/>
  <c r="K650" i="4"/>
  <c r="J650" i="4"/>
  <c r="F650" i="4"/>
  <c r="K649" i="4"/>
  <c r="J649" i="4"/>
  <c r="F649" i="4"/>
  <c r="K648" i="4"/>
  <c r="J648" i="4"/>
  <c r="F648" i="4"/>
  <c r="K647" i="4"/>
  <c r="J647" i="4"/>
  <c r="F647" i="4"/>
  <c r="K646" i="4"/>
  <c r="J646" i="4"/>
  <c r="F646" i="4"/>
  <c r="K645" i="4"/>
  <c r="J645" i="4"/>
  <c r="F645" i="4"/>
  <c r="K644" i="4"/>
  <c r="J644" i="4"/>
  <c r="F644" i="4"/>
  <c r="K643" i="4"/>
  <c r="J643" i="4"/>
  <c r="F643" i="4"/>
  <c r="K642" i="4"/>
  <c r="J642" i="4"/>
  <c r="F642" i="4"/>
  <c r="K641" i="4"/>
  <c r="J641" i="4"/>
  <c r="F641" i="4"/>
  <c r="K640" i="4"/>
  <c r="J640" i="4"/>
  <c r="F640" i="4"/>
  <c r="K639" i="4"/>
  <c r="J639" i="4"/>
  <c r="F639" i="4"/>
  <c r="K638" i="4"/>
  <c r="J638" i="4"/>
  <c r="F638" i="4"/>
  <c r="K637" i="4"/>
  <c r="J637" i="4"/>
  <c r="F637" i="4"/>
  <c r="K636" i="4"/>
  <c r="J636" i="4"/>
  <c r="F636" i="4"/>
  <c r="K635" i="4"/>
  <c r="J635" i="4"/>
  <c r="F635" i="4"/>
  <c r="K634" i="4"/>
  <c r="J634" i="4"/>
  <c r="F634" i="4"/>
  <c r="K633" i="4"/>
  <c r="J633" i="4"/>
  <c r="F633" i="4"/>
  <c r="K632" i="4"/>
  <c r="J632" i="4"/>
  <c r="F632" i="4"/>
  <c r="K631" i="4"/>
  <c r="J631" i="4"/>
  <c r="F631" i="4"/>
  <c r="K630" i="4"/>
  <c r="J630" i="4"/>
  <c r="F630" i="4"/>
  <c r="K629" i="4"/>
  <c r="J629" i="4"/>
  <c r="F629" i="4"/>
  <c r="K628" i="4"/>
  <c r="J628" i="4"/>
  <c r="F628" i="4"/>
  <c r="K627" i="4"/>
  <c r="J627" i="4"/>
  <c r="F627" i="4"/>
  <c r="K626" i="4"/>
  <c r="J626" i="4"/>
  <c r="F626" i="4"/>
  <c r="K625" i="4"/>
  <c r="J625" i="4"/>
  <c r="F625" i="4"/>
  <c r="K624" i="4"/>
  <c r="J624" i="4"/>
  <c r="F624" i="4"/>
  <c r="K623" i="4"/>
  <c r="J623" i="4"/>
  <c r="F623" i="4"/>
  <c r="K622" i="4"/>
  <c r="J622" i="4"/>
  <c r="F622" i="4"/>
  <c r="K621" i="4"/>
  <c r="J621" i="4"/>
  <c r="F621" i="4"/>
  <c r="K620" i="4"/>
  <c r="J620" i="4"/>
  <c r="F620" i="4"/>
  <c r="K619" i="4"/>
  <c r="J619" i="4"/>
  <c r="F619" i="4"/>
  <c r="K618" i="4"/>
  <c r="J618" i="4"/>
  <c r="F618" i="4"/>
  <c r="K617" i="4"/>
  <c r="J617" i="4"/>
  <c r="F617" i="4"/>
  <c r="K616" i="4"/>
  <c r="J616" i="4"/>
  <c r="F616" i="4"/>
  <c r="K615" i="4"/>
  <c r="J615" i="4"/>
  <c r="F615" i="4"/>
  <c r="K614" i="4"/>
  <c r="J614" i="4"/>
  <c r="F614" i="4"/>
  <c r="K613" i="4"/>
  <c r="J613" i="4"/>
  <c r="F613" i="4"/>
  <c r="K612" i="4"/>
  <c r="J612" i="4"/>
  <c r="F612" i="4"/>
  <c r="K611" i="4"/>
  <c r="J611" i="4"/>
  <c r="F611" i="4"/>
  <c r="K610" i="4"/>
  <c r="J610" i="4"/>
  <c r="F610" i="4"/>
  <c r="K609" i="4"/>
  <c r="J609" i="4"/>
  <c r="F609" i="4"/>
  <c r="K608" i="4"/>
  <c r="J608" i="4"/>
  <c r="F608" i="4"/>
  <c r="K607" i="4"/>
  <c r="J607" i="4"/>
  <c r="F607" i="4"/>
  <c r="K606" i="4"/>
  <c r="J606" i="4"/>
  <c r="F606" i="4"/>
  <c r="K605" i="4"/>
  <c r="J605" i="4"/>
  <c r="F605" i="4"/>
  <c r="K604" i="4"/>
  <c r="J604" i="4"/>
  <c r="F604" i="4"/>
  <c r="K603" i="4"/>
  <c r="J603" i="4"/>
  <c r="F603" i="4"/>
  <c r="K602" i="4"/>
  <c r="J602" i="4"/>
  <c r="F602" i="4"/>
  <c r="K601" i="4"/>
  <c r="J601" i="4"/>
  <c r="F601" i="4"/>
  <c r="K600" i="4"/>
  <c r="J600" i="4"/>
  <c r="F600" i="4"/>
  <c r="K599" i="4"/>
  <c r="J599" i="4"/>
  <c r="F599" i="4"/>
  <c r="K598" i="4"/>
  <c r="J598" i="4"/>
  <c r="F598" i="4"/>
  <c r="K597" i="4"/>
  <c r="J597" i="4"/>
  <c r="F597" i="4"/>
  <c r="K596" i="4"/>
  <c r="J596" i="4"/>
  <c r="F596" i="4"/>
  <c r="K595" i="4"/>
  <c r="J595" i="4"/>
  <c r="F595" i="4"/>
  <c r="K594" i="4"/>
  <c r="J594" i="4"/>
  <c r="F594" i="4"/>
  <c r="K593" i="4"/>
  <c r="J593" i="4"/>
  <c r="F593" i="4"/>
  <c r="K592" i="4"/>
  <c r="J592" i="4"/>
  <c r="F592" i="4"/>
  <c r="K591" i="4"/>
  <c r="J591" i="4"/>
  <c r="F591" i="4"/>
  <c r="K590" i="4"/>
  <c r="J590" i="4"/>
  <c r="F590" i="4"/>
  <c r="K589" i="4"/>
  <c r="J589" i="4"/>
  <c r="F589" i="4"/>
  <c r="K588" i="4"/>
  <c r="J588" i="4"/>
  <c r="F588" i="4"/>
  <c r="K587" i="4"/>
  <c r="J587" i="4"/>
  <c r="F587" i="4"/>
  <c r="K586" i="4"/>
  <c r="J586" i="4"/>
  <c r="F586" i="4"/>
  <c r="K585" i="4"/>
  <c r="J585" i="4"/>
  <c r="F585" i="4"/>
  <c r="K584" i="4"/>
  <c r="J584" i="4"/>
  <c r="F584" i="4"/>
  <c r="K583" i="4"/>
  <c r="J583" i="4"/>
  <c r="F583" i="4"/>
  <c r="K582" i="4"/>
  <c r="J582" i="4"/>
  <c r="F582" i="4"/>
  <c r="K581" i="4"/>
  <c r="J581" i="4"/>
  <c r="F581" i="4"/>
  <c r="K580" i="4"/>
  <c r="J580" i="4"/>
  <c r="F580" i="4"/>
  <c r="K579" i="4"/>
  <c r="J579" i="4"/>
  <c r="F579" i="4"/>
  <c r="K578" i="4"/>
  <c r="J578" i="4"/>
  <c r="F578" i="4"/>
  <c r="K577" i="4"/>
  <c r="J577" i="4"/>
  <c r="F577" i="4"/>
  <c r="K576" i="4"/>
  <c r="J576" i="4"/>
  <c r="F576" i="4"/>
  <c r="K575" i="4"/>
  <c r="J575" i="4"/>
  <c r="F575" i="4"/>
  <c r="K574" i="4"/>
  <c r="J574" i="4"/>
  <c r="F574" i="4"/>
  <c r="K573" i="4"/>
  <c r="J573" i="4"/>
  <c r="F573" i="4"/>
  <c r="K572" i="4"/>
  <c r="J572" i="4"/>
  <c r="F572" i="4"/>
  <c r="K571" i="4"/>
  <c r="J571" i="4"/>
  <c r="F571" i="4"/>
  <c r="K570" i="4"/>
  <c r="J570" i="4"/>
  <c r="F570" i="4"/>
  <c r="K569" i="4"/>
  <c r="J569" i="4"/>
  <c r="F569" i="4"/>
  <c r="K568" i="4"/>
  <c r="J568" i="4"/>
  <c r="F568" i="4"/>
  <c r="K567" i="4"/>
  <c r="J567" i="4"/>
  <c r="F567" i="4"/>
  <c r="K566" i="4"/>
  <c r="J566" i="4"/>
  <c r="F566" i="4"/>
  <c r="K565" i="4"/>
  <c r="J565" i="4"/>
  <c r="F565" i="4"/>
  <c r="K564" i="4"/>
  <c r="J564" i="4"/>
  <c r="F564" i="4"/>
  <c r="K563" i="4"/>
  <c r="J563" i="4"/>
  <c r="F563" i="4"/>
  <c r="K562" i="4"/>
  <c r="J562" i="4"/>
  <c r="F562" i="4"/>
  <c r="K561" i="4"/>
  <c r="J561" i="4"/>
  <c r="F561" i="4"/>
  <c r="K560" i="4"/>
  <c r="J560" i="4"/>
  <c r="F560" i="4"/>
  <c r="K559" i="4"/>
  <c r="J559" i="4"/>
  <c r="F559" i="4"/>
  <c r="K558" i="4"/>
  <c r="J558" i="4"/>
  <c r="F558" i="4"/>
  <c r="K557" i="4"/>
  <c r="J557" i="4"/>
  <c r="F557" i="4"/>
  <c r="K556" i="4"/>
  <c r="J556" i="4"/>
  <c r="F556" i="4"/>
  <c r="K555" i="4"/>
  <c r="J555" i="4"/>
  <c r="F555" i="4"/>
  <c r="K554" i="4"/>
  <c r="J554" i="4"/>
  <c r="F554" i="4"/>
  <c r="K553" i="4"/>
  <c r="J553" i="4"/>
  <c r="F553" i="4"/>
  <c r="K552" i="4"/>
  <c r="J552" i="4"/>
  <c r="F552" i="4"/>
  <c r="K551" i="4"/>
  <c r="J551" i="4"/>
  <c r="F551" i="4"/>
  <c r="K550" i="4"/>
  <c r="J550" i="4"/>
  <c r="F550" i="4"/>
  <c r="K549" i="4"/>
  <c r="J549" i="4"/>
  <c r="F549" i="4"/>
  <c r="K548" i="4"/>
  <c r="J548" i="4"/>
  <c r="F548" i="4"/>
  <c r="K547" i="4"/>
  <c r="J547" i="4"/>
  <c r="F547" i="4"/>
  <c r="K546" i="4"/>
  <c r="J546" i="4"/>
  <c r="F546" i="4"/>
  <c r="K545" i="4"/>
  <c r="J545" i="4"/>
  <c r="F545" i="4"/>
  <c r="K544" i="4"/>
  <c r="J544" i="4"/>
  <c r="F544" i="4"/>
  <c r="K543" i="4"/>
  <c r="J543" i="4"/>
  <c r="F543" i="4"/>
  <c r="K542" i="4"/>
  <c r="J542" i="4"/>
  <c r="F542" i="4"/>
  <c r="K541" i="4"/>
  <c r="J541" i="4"/>
  <c r="F541" i="4"/>
  <c r="K540" i="4"/>
  <c r="J540" i="4"/>
  <c r="F540" i="4"/>
  <c r="K539" i="4"/>
  <c r="J539" i="4"/>
  <c r="F539" i="4"/>
  <c r="K538" i="4"/>
  <c r="J538" i="4"/>
  <c r="F538" i="4"/>
  <c r="K537" i="4"/>
  <c r="J537" i="4"/>
  <c r="F537" i="4"/>
  <c r="K536" i="4"/>
  <c r="J536" i="4"/>
  <c r="F536" i="4"/>
  <c r="K535" i="4"/>
  <c r="J535" i="4"/>
  <c r="F535" i="4"/>
  <c r="K534" i="4"/>
  <c r="J534" i="4"/>
  <c r="F534" i="4"/>
  <c r="K533" i="4"/>
  <c r="J533" i="4"/>
  <c r="F533" i="4"/>
  <c r="K532" i="4"/>
  <c r="J532" i="4"/>
  <c r="F532" i="4"/>
  <c r="K531" i="4"/>
  <c r="J531" i="4"/>
  <c r="F531" i="4"/>
  <c r="K530" i="4"/>
  <c r="J530" i="4"/>
  <c r="F530" i="4"/>
  <c r="K529" i="4"/>
  <c r="J529" i="4"/>
  <c r="F529" i="4"/>
  <c r="K528" i="4"/>
  <c r="J528" i="4"/>
  <c r="F528" i="4"/>
  <c r="K527" i="4"/>
  <c r="J527" i="4"/>
  <c r="F527" i="4"/>
  <c r="K526" i="4"/>
  <c r="J526" i="4"/>
  <c r="F526" i="4"/>
  <c r="K525" i="4"/>
  <c r="J525" i="4"/>
  <c r="F525" i="4"/>
  <c r="K524" i="4"/>
  <c r="J524" i="4"/>
  <c r="F524" i="4"/>
  <c r="K523" i="4"/>
  <c r="J523" i="4"/>
  <c r="F523" i="4"/>
  <c r="K522" i="4"/>
  <c r="J522" i="4"/>
  <c r="F522" i="4"/>
  <c r="K521" i="4"/>
  <c r="J521" i="4"/>
  <c r="F521" i="4"/>
  <c r="K520" i="4"/>
  <c r="J520" i="4"/>
  <c r="F520" i="4"/>
  <c r="K519" i="4"/>
  <c r="J519" i="4"/>
  <c r="F519" i="4"/>
  <c r="K518" i="4"/>
  <c r="J518" i="4"/>
  <c r="F518" i="4"/>
  <c r="K517" i="4"/>
  <c r="J517" i="4"/>
  <c r="F517" i="4"/>
  <c r="K516" i="4"/>
  <c r="J516" i="4"/>
  <c r="F516" i="4"/>
  <c r="K515" i="4"/>
  <c r="J515" i="4"/>
  <c r="F515" i="4"/>
  <c r="K514" i="4"/>
  <c r="J514" i="4"/>
  <c r="F514" i="4"/>
  <c r="K513" i="4"/>
  <c r="J513" i="4"/>
  <c r="F513" i="4"/>
  <c r="K512" i="4"/>
  <c r="J512" i="4"/>
  <c r="F512" i="4"/>
  <c r="K511" i="4"/>
  <c r="J511" i="4"/>
  <c r="F511" i="4"/>
  <c r="K510" i="4"/>
  <c r="J510" i="4"/>
  <c r="F510" i="4"/>
  <c r="K509" i="4"/>
  <c r="J509" i="4"/>
  <c r="F509" i="4"/>
  <c r="K508" i="4"/>
  <c r="J508" i="4"/>
  <c r="F508" i="4"/>
  <c r="J507" i="4"/>
  <c r="I507" i="4"/>
  <c r="K507" i="4" s="1"/>
  <c r="F507" i="4"/>
  <c r="J506" i="4"/>
  <c r="I506" i="4"/>
  <c r="K506" i="4" s="1"/>
  <c r="F506" i="4"/>
  <c r="K505" i="4"/>
  <c r="J505" i="4"/>
  <c r="I505" i="4"/>
  <c r="F505" i="4"/>
  <c r="K504" i="4"/>
  <c r="J504" i="4"/>
  <c r="I504" i="4"/>
  <c r="F504" i="4"/>
  <c r="J503" i="4"/>
  <c r="I503" i="4"/>
  <c r="K503" i="4" s="1"/>
  <c r="F503" i="4"/>
  <c r="J502" i="4"/>
  <c r="I502" i="4"/>
  <c r="K502" i="4" s="1"/>
  <c r="F502" i="4"/>
  <c r="J501" i="4"/>
  <c r="I501" i="4"/>
  <c r="K501" i="4" s="1"/>
  <c r="F501" i="4"/>
  <c r="K500" i="4"/>
  <c r="J500" i="4"/>
  <c r="I500" i="4"/>
  <c r="F500" i="4"/>
  <c r="K499" i="4"/>
  <c r="J499" i="4"/>
  <c r="I499" i="4"/>
  <c r="F499" i="4"/>
  <c r="K498" i="4"/>
  <c r="J498" i="4"/>
  <c r="F498" i="4"/>
  <c r="K497" i="4"/>
  <c r="J497" i="4"/>
  <c r="F497" i="4"/>
  <c r="K496" i="4"/>
  <c r="J496" i="4"/>
  <c r="F496" i="4"/>
  <c r="K495" i="4"/>
  <c r="J495" i="4"/>
  <c r="F495" i="4"/>
  <c r="K494" i="4"/>
  <c r="J494" i="4"/>
  <c r="F494" i="4"/>
  <c r="K493" i="4"/>
  <c r="J493" i="4"/>
  <c r="F493" i="4"/>
  <c r="K492" i="4"/>
  <c r="J492" i="4"/>
  <c r="F492" i="4"/>
  <c r="K491" i="4"/>
  <c r="J491" i="4"/>
  <c r="F491" i="4"/>
  <c r="K490" i="4"/>
  <c r="J490" i="4"/>
  <c r="F490" i="4"/>
  <c r="K489" i="4"/>
  <c r="J489" i="4"/>
  <c r="F489" i="4"/>
  <c r="K488" i="4"/>
  <c r="J488" i="4"/>
  <c r="F488" i="4"/>
  <c r="K487" i="4"/>
  <c r="J487" i="4"/>
  <c r="F487" i="4"/>
  <c r="K486" i="4"/>
  <c r="J486" i="4"/>
  <c r="F486" i="4"/>
  <c r="K485" i="4"/>
  <c r="J485" i="4"/>
  <c r="F485" i="4"/>
  <c r="K484" i="4"/>
  <c r="J484" i="4"/>
  <c r="F484" i="4"/>
  <c r="K483" i="4"/>
  <c r="J483" i="4"/>
  <c r="F483" i="4"/>
  <c r="K482" i="4"/>
  <c r="J482" i="4"/>
  <c r="F482" i="4"/>
  <c r="K481" i="4"/>
  <c r="J481" i="4"/>
  <c r="F481" i="4"/>
  <c r="K480" i="4"/>
  <c r="J480" i="4"/>
  <c r="F480" i="4"/>
  <c r="K479" i="4"/>
  <c r="J479" i="4"/>
  <c r="F479" i="4"/>
  <c r="K478" i="4"/>
  <c r="J478" i="4"/>
  <c r="F478" i="4"/>
  <c r="K477" i="4"/>
  <c r="J477" i="4"/>
  <c r="F477" i="4"/>
  <c r="K476" i="4"/>
  <c r="J476" i="4"/>
  <c r="F476" i="4"/>
  <c r="K475" i="4"/>
  <c r="J475" i="4"/>
  <c r="F475" i="4"/>
  <c r="K474" i="4"/>
  <c r="J474" i="4"/>
  <c r="F474" i="4"/>
  <c r="K473" i="4"/>
  <c r="J473" i="4"/>
  <c r="F473" i="4"/>
  <c r="K472" i="4"/>
  <c r="J472" i="4"/>
  <c r="F472" i="4"/>
  <c r="K471" i="4"/>
  <c r="J471" i="4"/>
  <c r="F471" i="4"/>
  <c r="K470" i="4"/>
  <c r="J470" i="4"/>
  <c r="F470" i="4"/>
  <c r="K469" i="4"/>
  <c r="J469" i="4"/>
  <c r="F469" i="4"/>
  <c r="K468" i="4"/>
  <c r="J468" i="4"/>
  <c r="F468" i="4"/>
  <c r="K467" i="4"/>
  <c r="J467" i="4"/>
  <c r="F467" i="4"/>
  <c r="K466" i="4"/>
  <c r="J466" i="4"/>
  <c r="F466" i="4"/>
  <c r="K465" i="4"/>
  <c r="J465" i="4"/>
  <c r="F465" i="4"/>
  <c r="K464" i="4"/>
  <c r="J464" i="4"/>
  <c r="F464" i="4"/>
  <c r="K463" i="4"/>
  <c r="J463" i="4"/>
  <c r="F463" i="4"/>
  <c r="K462" i="4"/>
  <c r="J462" i="4"/>
  <c r="F462" i="4"/>
  <c r="K461" i="4"/>
  <c r="J461" i="4"/>
  <c r="F461" i="4"/>
  <c r="K460" i="4"/>
  <c r="J460" i="4"/>
  <c r="F460" i="4"/>
  <c r="K459" i="4"/>
  <c r="J459" i="4"/>
  <c r="F459" i="4"/>
  <c r="K458" i="4"/>
  <c r="J458" i="4"/>
  <c r="F458" i="4"/>
  <c r="K457" i="4"/>
  <c r="J457" i="4"/>
  <c r="F457" i="4"/>
  <c r="K456" i="4"/>
  <c r="J456" i="4"/>
  <c r="F456" i="4"/>
  <c r="K455" i="4"/>
  <c r="J455" i="4"/>
  <c r="F455" i="4"/>
  <c r="K454" i="4"/>
  <c r="J454" i="4"/>
  <c r="F454" i="4"/>
  <c r="K453" i="4"/>
  <c r="J453" i="4"/>
  <c r="F453" i="4"/>
  <c r="K452" i="4"/>
  <c r="J452" i="4"/>
  <c r="F452" i="4"/>
  <c r="K451" i="4"/>
  <c r="J451" i="4"/>
  <c r="F451" i="4"/>
  <c r="K450" i="4"/>
  <c r="J450" i="4"/>
  <c r="F450" i="4"/>
  <c r="K449" i="4"/>
  <c r="J449" i="4"/>
  <c r="F449" i="4"/>
  <c r="K448" i="4"/>
  <c r="J448" i="4"/>
  <c r="F448" i="4"/>
  <c r="K447" i="4"/>
  <c r="J447" i="4"/>
  <c r="F447" i="4"/>
  <c r="K446" i="4"/>
  <c r="J446" i="4"/>
  <c r="F446" i="4"/>
  <c r="K445" i="4"/>
  <c r="J445" i="4"/>
  <c r="F445" i="4"/>
  <c r="K444" i="4"/>
  <c r="J444" i="4"/>
  <c r="F444" i="4"/>
  <c r="K443" i="4"/>
  <c r="J443" i="4"/>
  <c r="F443" i="4"/>
  <c r="K442" i="4"/>
  <c r="J442" i="4"/>
  <c r="F442" i="4"/>
  <c r="K441" i="4"/>
  <c r="J441" i="4"/>
  <c r="F441" i="4"/>
  <c r="K440" i="4"/>
  <c r="J440" i="4"/>
  <c r="F440" i="4"/>
  <c r="K439" i="4"/>
  <c r="J439" i="4"/>
  <c r="F439" i="4"/>
  <c r="K438" i="4"/>
  <c r="J438" i="4"/>
  <c r="F438" i="4"/>
  <c r="K437" i="4"/>
  <c r="J437" i="4"/>
  <c r="F437" i="4"/>
  <c r="K436" i="4"/>
  <c r="J436" i="4"/>
  <c r="F436" i="4"/>
  <c r="K435" i="4"/>
  <c r="J435" i="4"/>
  <c r="F435" i="4"/>
  <c r="K434" i="4"/>
  <c r="J434" i="4"/>
  <c r="F434" i="4"/>
  <c r="K433" i="4"/>
  <c r="J433" i="4"/>
  <c r="F433" i="4"/>
  <c r="K432" i="4"/>
  <c r="J432" i="4"/>
  <c r="F432" i="4"/>
  <c r="K431" i="4"/>
  <c r="J431" i="4"/>
  <c r="F431" i="4"/>
  <c r="K430" i="4"/>
  <c r="J430" i="4"/>
  <c r="F430" i="4"/>
  <c r="K429" i="4"/>
  <c r="J429" i="4"/>
  <c r="F429" i="4"/>
  <c r="K428" i="4"/>
  <c r="J428" i="4"/>
  <c r="F428" i="4"/>
  <c r="K427" i="4"/>
  <c r="J427" i="4"/>
  <c r="F427" i="4"/>
  <c r="K426" i="4"/>
  <c r="J426" i="4"/>
  <c r="F426" i="4"/>
  <c r="K425" i="4"/>
  <c r="J425" i="4"/>
  <c r="F425" i="4"/>
  <c r="K424" i="4"/>
  <c r="J424" i="4"/>
  <c r="F424" i="4"/>
  <c r="K423" i="4"/>
  <c r="J423" i="4"/>
  <c r="F423" i="4"/>
  <c r="K422" i="4"/>
  <c r="J422" i="4"/>
  <c r="F422" i="4"/>
  <c r="K421" i="4"/>
  <c r="J421" i="4"/>
  <c r="F421" i="4"/>
  <c r="J420" i="4"/>
  <c r="I420" i="4"/>
  <c r="K420" i="4" s="1"/>
  <c r="F420" i="4"/>
  <c r="J419" i="4"/>
  <c r="I419" i="4"/>
  <c r="K419" i="4" s="1"/>
  <c r="F419" i="4"/>
  <c r="K418" i="4"/>
  <c r="J418" i="4"/>
  <c r="F418" i="4"/>
  <c r="K417" i="4"/>
  <c r="J417" i="4"/>
  <c r="F417" i="4"/>
  <c r="K416" i="4"/>
  <c r="J416" i="4"/>
  <c r="F416" i="4"/>
  <c r="K415" i="4"/>
  <c r="J415" i="4"/>
  <c r="F415" i="4"/>
  <c r="K414" i="4"/>
  <c r="J414" i="4"/>
  <c r="F414" i="4"/>
  <c r="K413" i="4"/>
  <c r="J413" i="4"/>
  <c r="F413" i="4"/>
  <c r="J412" i="4"/>
  <c r="I412" i="4"/>
  <c r="K412" i="4" s="1"/>
  <c r="F412" i="4"/>
  <c r="K411" i="4"/>
  <c r="J411" i="4"/>
  <c r="F411" i="4"/>
  <c r="K410" i="4"/>
  <c r="J410" i="4"/>
  <c r="F410" i="4"/>
  <c r="K409" i="4"/>
  <c r="J409" i="4"/>
  <c r="F409" i="4"/>
  <c r="K408" i="4"/>
  <c r="J408" i="4"/>
  <c r="F408" i="4"/>
  <c r="K407" i="4"/>
  <c r="J407" i="4"/>
  <c r="F407" i="4"/>
  <c r="J406" i="4"/>
  <c r="I406" i="4"/>
  <c r="K406" i="4" s="1"/>
  <c r="F406" i="4"/>
  <c r="K405" i="4"/>
  <c r="J405" i="4"/>
  <c r="F405" i="4"/>
  <c r="K404" i="4"/>
  <c r="J404" i="4"/>
  <c r="F404" i="4"/>
  <c r="K403" i="4"/>
  <c r="J403" i="4"/>
  <c r="F403" i="4"/>
  <c r="K402" i="4"/>
  <c r="J402" i="4"/>
  <c r="F402" i="4"/>
  <c r="K401" i="4"/>
  <c r="J401" i="4"/>
  <c r="F401" i="4"/>
  <c r="K400" i="4"/>
  <c r="J400" i="4"/>
  <c r="F400" i="4"/>
  <c r="K399" i="4"/>
  <c r="J399" i="4"/>
  <c r="F399" i="4"/>
  <c r="K398" i="4"/>
  <c r="J398" i="4"/>
  <c r="F398" i="4"/>
  <c r="K397" i="4"/>
  <c r="J397" i="4"/>
  <c r="F397" i="4"/>
  <c r="K396" i="4"/>
  <c r="J396" i="4"/>
  <c r="F396" i="4"/>
  <c r="K395" i="4"/>
  <c r="J395" i="4"/>
  <c r="F395" i="4"/>
  <c r="K394" i="4"/>
  <c r="J394" i="4"/>
  <c r="F394" i="4"/>
  <c r="K393" i="4"/>
  <c r="J393" i="4"/>
  <c r="F393" i="4"/>
  <c r="K392" i="4"/>
  <c r="J392" i="4"/>
  <c r="F392" i="4"/>
  <c r="K391" i="4"/>
  <c r="J391" i="4"/>
  <c r="F391" i="4"/>
  <c r="K390" i="4"/>
  <c r="J390" i="4"/>
  <c r="F390" i="4"/>
  <c r="K389" i="4"/>
  <c r="J389" i="4"/>
  <c r="F389" i="4"/>
  <c r="K388" i="4"/>
  <c r="J388" i="4"/>
  <c r="F388" i="4"/>
  <c r="K387" i="4"/>
  <c r="J387" i="4"/>
  <c r="F387" i="4"/>
  <c r="K386" i="4"/>
  <c r="J386" i="4"/>
  <c r="F386" i="4"/>
  <c r="K385" i="4"/>
  <c r="J385" i="4"/>
  <c r="F385" i="4"/>
  <c r="K384" i="4"/>
  <c r="J384" i="4"/>
  <c r="F384" i="4"/>
  <c r="K383" i="4"/>
  <c r="J383" i="4"/>
  <c r="F383" i="4"/>
  <c r="K382" i="4"/>
  <c r="J382" i="4"/>
  <c r="F382" i="4"/>
  <c r="K381" i="4"/>
  <c r="J381" i="4"/>
  <c r="F381" i="4"/>
  <c r="K380" i="4"/>
  <c r="J380" i="4"/>
  <c r="F380" i="4"/>
  <c r="K379" i="4"/>
  <c r="J379" i="4"/>
  <c r="F379" i="4"/>
  <c r="K378" i="4"/>
  <c r="J378" i="4"/>
  <c r="F378" i="4"/>
  <c r="K377" i="4"/>
  <c r="J377" i="4"/>
  <c r="F377" i="4"/>
  <c r="K376" i="4"/>
  <c r="J376" i="4"/>
  <c r="F376" i="4"/>
  <c r="K375" i="4"/>
  <c r="J375" i="4"/>
  <c r="K374" i="4"/>
  <c r="J374" i="4"/>
  <c r="F374" i="4"/>
  <c r="K373" i="4"/>
  <c r="J373" i="4"/>
  <c r="F373" i="4"/>
  <c r="K372" i="4"/>
  <c r="J372" i="4"/>
  <c r="F372" i="4"/>
  <c r="K371" i="4"/>
  <c r="J371" i="4"/>
  <c r="K370" i="4"/>
  <c r="J370" i="4"/>
  <c r="F370" i="4"/>
  <c r="K369" i="4"/>
  <c r="J369" i="4"/>
  <c r="F369" i="4"/>
  <c r="K368" i="4"/>
  <c r="J368" i="4"/>
  <c r="F368" i="4"/>
  <c r="K367" i="4"/>
  <c r="J367" i="4"/>
  <c r="F367" i="4"/>
  <c r="K366" i="4"/>
  <c r="J366" i="4"/>
  <c r="F366" i="4"/>
  <c r="K365" i="4"/>
  <c r="J365" i="4"/>
  <c r="F365" i="4"/>
  <c r="K364" i="4"/>
  <c r="J364" i="4"/>
  <c r="F364" i="4"/>
  <c r="K363" i="4"/>
  <c r="J363" i="4"/>
  <c r="F363" i="4"/>
  <c r="K362" i="4"/>
  <c r="J362" i="4"/>
  <c r="F362" i="4"/>
  <c r="K361" i="4"/>
  <c r="J361" i="4"/>
  <c r="F361" i="4"/>
  <c r="K360" i="4"/>
  <c r="J360" i="4"/>
  <c r="F360" i="4"/>
  <c r="K359" i="4"/>
  <c r="J359" i="4"/>
  <c r="F359" i="4"/>
  <c r="K358" i="4"/>
  <c r="J358" i="4"/>
  <c r="F358" i="4"/>
  <c r="K357" i="4"/>
  <c r="J357" i="4"/>
  <c r="F357" i="4"/>
  <c r="K356" i="4"/>
  <c r="J356" i="4"/>
  <c r="F356" i="4"/>
  <c r="K355" i="4"/>
  <c r="J355" i="4"/>
  <c r="F355" i="4"/>
  <c r="K354" i="4"/>
  <c r="J354" i="4"/>
  <c r="F354" i="4"/>
  <c r="K353" i="4"/>
  <c r="J353" i="4"/>
  <c r="F353" i="4"/>
  <c r="K352" i="4"/>
  <c r="J352" i="4"/>
  <c r="F352" i="4"/>
  <c r="K351" i="4"/>
  <c r="J351" i="4"/>
  <c r="F351" i="4"/>
  <c r="K350" i="4"/>
  <c r="J350" i="4"/>
  <c r="F350" i="4"/>
  <c r="K349" i="4"/>
  <c r="J349" i="4"/>
  <c r="F349" i="4"/>
  <c r="K348" i="4"/>
  <c r="J348" i="4"/>
  <c r="F348" i="4"/>
  <c r="K347" i="4"/>
  <c r="J347" i="4"/>
  <c r="F347" i="4"/>
  <c r="K346" i="4"/>
  <c r="J346" i="4"/>
  <c r="F346" i="4"/>
  <c r="K345" i="4"/>
  <c r="J345" i="4"/>
  <c r="F345" i="4"/>
  <c r="K344" i="4"/>
  <c r="J344" i="4"/>
  <c r="F344" i="4"/>
  <c r="K343" i="4"/>
  <c r="J343" i="4"/>
  <c r="F343" i="4"/>
  <c r="K342" i="4"/>
  <c r="J342" i="4"/>
  <c r="F342" i="4"/>
  <c r="K341" i="4"/>
  <c r="J341" i="4"/>
  <c r="F341" i="4"/>
  <c r="K340" i="4"/>
  <c r="J340" i="4"/>
  <c r="F340" i="4"/>
  <c r="K339" i="4"/>
  <c r="J339" i="4"/>
  <c r="F339" i="4"/>
  <c r="K338" i="4"/>
  <c r="J338" i="4"/>
  <c r="F338" i="4"/>
  <c r="K337" i="4"/>
  <c r="J337" i="4"/>
  <c r="F337" i="4"/>
  <c r="K336" i="4"/>
  <c r="J336" i="4"/>
  <c r="F336" i="4"/>
  <c r="K335" i="4"/>
  <c r="J335" i="4"/>
  <c r="F335" i="4"/>
  <c r="K334" i="4"/>
  <c r="J334" i="4"/>
  <c r="F334" i="4"/>
  <c r="K333" i="4"/>
  <c r="J333" i="4"/>
  <c r="F333" i="4"/>
  <c r="K332" i="4"/>
  <c r="J332" i="4"/>
  <c r="F332" i="4"/>
  <c r="K331" i="4"/>
  <c r="J331" i="4"/>
  <c r="F331" i="4"/>
  <c r="K330" i="4"/>
  <c r="J330" i="4"/>
  <c r="F330" i="4"/>
  <c r="K329" i="4"/>
  <c r="J329" i="4"/>
  <c r="F329" i="4"/>
  <c r="K328" i="4"/>
  <c r="J328" i="4"/>
  <c r="F328" i="4"/>
  <c r="K327" i="4"/>
  <c r="J327" i="4"/>
  <c r="F327" i="4"/>
  <c r="K326" i="4"/>
  <c r="J326" i="4"/>
  <c r="F326" i="4"/>
  <c r="K325" i="4"/>
  <c r="J325" i="4"/>
  <c r="F325" i="4"/>
  <c r="K324" i="4"/>
  <c r="J324" i="4"/>
  <c r="F324" i="4"/>
  <c r="K323" i="4"/>
  <c r="J323" i="4"/>
  <c r="F323" i="4"/>
  <c r="K322" i="4"/>
  <c r="J322" i="4"/>
  <c r="F322" i="4"/>
  <c r="K321" i="4"/>
  <c r="J321" i="4"/>
  <c r="F321" i="4"/>
  <c r="K320" i="4"/>
  <c r="J320" i="4"/>
  <c r="F320" i="4"/>
  <c r="K319" i="4"/>
  <c r="J319" i="4"/>
  <c r="F319" i="4"/>
  <c r="K318" i="4"/>
  <c r="J318" i="4"/>
  <c r="F318" i="4"/>
  <c r="K317" i="4"/>
  <c r="J317" i="4"/>
  <c r="F317" i="4"/>
  <c r="K316" i="4"/>
  <c r="J316" i="4"/>
  <c r="F316" i="4"/>
  <c r="K315" i="4"/>
  <c r="J315" i="4"/>
  <c r="F315" i="4"/>
  <c r="K314" i="4"/>
  <c r="J314" i="4"/>
  <c r="F314" i="4"/>
  <c r="K313" i="4"/>
  <c r="J313" i="4"/>
  <c r="F313" i="4"/>
  <c r="K312" i="4"/>
  <c r="J312" i="4"/>
  <c r="F312" i="4"/>
  <c r="K311" i="4"/>
  <c r="J311" i="4"/>
  <c r="F311" i="4"/>
  <c r="K310" i="4"/>
  <c r="J310" i="4"/>
  <c r="F310" i="4"/>
  <c r="K309" i="4"/>
  <c r="J309" i="4"/>
  <c r="F309" i="4"/>
  <c r="K308" i="4"/>
  <c r="J308" i="4"/>
  <c r="F308" i="4"/>
  <c r="K307" i="4"/>
  <c r="J307" i="4"/>
  <c r="F307" i="4"/>
  <c r="K306" i="4"/>
  <c r="J306" i="4"/>
  <c r="F306" i="4"/>
  <c r="K305" i="4"/>
  <c r="J305" i="4"/>
  <c r="F305" i="4"/>
  <c r="K304" i="4"/>
  <c r="J304" i="4"/>
  <c r="F304" i="4"/>
  <c r="K303" i="4"/>
  <c r="J303" i="4"/>
  <c r="F303" i="4"/>
  <c r="K302" i="4"/>
  <c r="J302" i="4"/>
  <c r="F302" i="4"/>
  <c r="K301" i="4"/>
  <c r="J301" i="4"/>
  <c r="F301" i="4"/>
  <c r="K300" i="4"/>
  <c r="J300" i="4"/>
  <c r="F300" i="4"/>
  <c r="K299" i="4"/>
  <c r="J299" i="4"/>
  <c r="F299" i="4"/>
  <c r="K298" i="4"/>
  <c r="J298" i="4"/>
  <c r="F298" i="4"/>
  <c r="K297" i="4"/>
  <c r="J297" i="4"/>
  <c r="F297" i="4"/>
  <c r="K296" i="4"/>
  <c r="J296" i="4"/>
  <c r="K295" i="4"/>
  <c r="J295" i="4"/>
  <c r="F295" i="4"/>
  <c r="K294" i="4"/>
  <c r="J294" i="4"/>
  <c r="F294" i="4"/>
  <c r="K293" i="4"/>
  <c r="J293" i="4"/>
  <c r="F293" i="4"/>
  <c r="K292" i="4"/>
  <c r="J292" i="4"/>
  <c r="F292" i="4"/>
  <c r="K291" i="4"/>
  <c r="J291" i="4"/>
  <c r="F291" i="4"/>
  <c r="K290" i="4"/>
  <c r="J290" i="4"/>
  <c r="F290" i="4"/>
  <c r="K289" i="4"/>
  <c r="J289" i="4"/>
  <c r="F289" i="4"/>
  <c r="K288" i="4"/>
  <c r="J288" i="4"/>
  <c r="F288" i="4"/>
  <c r="K287" i="4"/>
  <c r="J287" i="4"/>
  <c r="F287" i="4"/>
  <c r="K286" i="4"/>
  <c r="J286" i="4"/>
  <c r="F286" i="4"/>
  <c r="K285" i="4"/>
  <c r="J285" i="4"/>
  <c r="F285" i="4"/>
  <c r="K284" i="4"/>
  <c r="J284" i="4"/>
  <c r="F284" i="4"/>
  <c r="K283" i="4"/>
  <c r="J283" i="4"/>
  <c r="F283" i="4"/>
  <c r="K282" i="4"/>
  <c r="J282" i="4"/>
  <c r="F282" i="4"/>
  <c r="K281" i="4"/>
  <c r="J281" i="4"/>
  <c r="F281" i="4"/>
  <c r="K280" i="4"/>
  <c r="J280" i="4"/>
  <c r="F280" i="4"/>
  <c r="K279" i="4"/>
  <c r="J279" i="4"/>
  <c r="F279" i="4"/>
  <c r="K278" i="4"/>
  <c r="J278" i="4"/>
  <c r="F278" i="4"/>
  <c r="K277" i="4"/>
  <c r="J277" i="4"/>
  <c r="F277" i="4"/>
  <c r="K276" i="4"/>
  <c r="J276" i="4"/>
  <c r="F276" i="4"/>
  <c r="K275" i="4"/>
  <c r="J275" i="4"/>
  <c r="F275" i="4"/>
  <c r="K274" i="4"/>
  <c r="J274" i="4"/>
  <c r="F274" i="4"/>
  <c r="K273" i="4"/>
  <c r="J273" i="4"/>
  <c r="F273" i="4"/>
  <c r="K272" i="4"/>
  <c r="J272" i="4"/>
  <c r="F272" i="4"/>
  <c r="K271" i="4"/>
  <c r="J271" i="4"/>
  <c r="F271" i="4"/>
  <c r="K270" i="4"/>
  <c r="J270" i="4"/>
  <c r="F270" i="4"/>
  <c r="K269" i="4"/>
  <c r="J269" i="4"/>
  <c r="F269" i="4"/>
  <c r="K268" i="4"/>
  <c r="J268" i="4"/>
  <c r="F268" i="4"/>
  <c r="K267" i="4"/>
  <c r="J267" i="4"/>
  <c r="F267" i="4"/>
  <c r="K266" i="4"/>
  <c r="J266" i="4"/>
  <c r="F266" i="4"/>
  <c r="K265" i="4"/>
  <c r="J265" i="4"/>
  <c r="F265" i="4"/>
  <c r="K264" i="4"/>
  <c r="J264" i="4"/>
  <c r="F264" i="4"/>
  <c r="K263" i="4"/>
  <c r="J263" i="4"/>
  <c r="F263" i="4"/>
  <c r="K262" i="4"/>
  <c r="J262" i="4"/>
  <c r="F262" i="4"/>
  <c r="K261" i="4"/>
  <c r="J261" i="4"/>
  <c r="F261" i="4"/>
  <c r="K260" i="4"/>
  <c r="J260" i="4"/>
  <c r="F260" i="4"/>
  <c r="K259" i="4"/>
  <c r="J259" i="4"/>
  <c r="F259" i="4"/>
  <c r="K258" i="4"/>
  <c r="J258" i="4"/>
  <c r="F258" i="4"/>
  <c r="K257" i="4"/>
  <c r="J257" i="4"/>
  <c r="F257" i="4"/>
  <c r="K256" i="4"/>
  <c r="J256" i="4"/>
  <c r="F256" i="4"/>
  <c r="K255" i="4"/>
  <c r="J255" i="4"/>
  <c r="F255" i="4"/>
  <c r="K254" i="4"/>
  <c r="J254" i="4"/>
  <c r="F254" i="4"/>
  <c r="K253" i="4"/>
  <c r="J253" i="4"/>
  <c r="F253" i="4"/>
  <c r="K252" i="4"/>
  <c r="J252" i="4"/>
  <c r="F252" i="4"/>
  <c r="K251" i="4"/>
  <c r="J251" i="4"/>
  <c r="F251" i="4"/>
  <c r="K250" i="4"/>
  <c r="J250" i="4"/>
  <c r="F250" i="4"/>
  <c r="K249" i="4"/>
  <c r="J249" i="4"/>
  <c r="F249" i="4"/>
  <c r="K248" i="4"/>
  <c r="J248" i="4"/>
  <c r="F248" i="4"/>
  <c r="K247" i="4"/>
  <c r="J247" i="4"/>
  <c r="F247" i="4"/>
  <c r="K246" i="4"/>
  <c r="J246" i="4"/>
  <c r="F246" i="4"/>
  <c r="K245" i="4"/>
  <c r="J245" i="4"/>
  <c r="F245" i="4"/>
  <c r="K244" i="4"/>
  <c r="J244" i="4"/>
  <c r="F244" i="4"/>
  <c r="K243" i="4"/>
  <c r="J243" i="4"/>
  <c r="F243" i="4"/>
  <c r="K242" i="4"/>
  <c r="J242" i="4"/>
  <c r="F242" i="4"/>
  <c r="K241" i="4"/>
  <c r="J241" i="4"/>
  <c r="F241" i="4"/>
  <c r="K240" i="4"/>
  <c r="J240" i="4"/>
  <c r="F240" i="4"/>
  <c r="K239" i="4"/>
  <c r="J239" i="4"/>
  <c r="F239" i="4"/>
  <c r="K238" i="4"/>
  <c r="J238" i="4"/>
  <c r="F238" i="4"/>
  <c r="K237" i="4"/>
  <c r="J237" i="4"/>
  <c r="F237" i="4"/>
  <c r="K236" i="4"/>
  <c r="J236" i="4"/>
  <c r="F236" i="4"/>
  <c r="K235" i="4"/>
  <c r="J235" i="4"/>
  <c r="F235" i="4"/>
  <c r="K234" i="4"/>
  <c r="J234" i="4"/>
  <c r="F234" i="4"/>
  <c r="K233" i="4"/>
  <c r="J233" i="4"/>
  <c r="F233" i="4"/>
  <c r="K232" i="4"/>
  <c r="J232" i="4"/>
  <c r="F232" i="4"/>
  <c r="K231" i="4"/>
  <c r="J231" i="4"/>
  <c r="F231" i="4"/>
  <c r="K230" i="4"/>
  <c r="J230" i="4"/>
  <c r="F230" i="4"/>
  <c r="K229" i="4"/>
  <c r="J229" i="4"/>
  <c r="F229" i="4"/>
  <c r="K228" i="4"/>
  <c r="J228" i="4"/>
  <c r="F228" i="4"/>
  <c r="K227" i="4"/>
  <c r="J227" i="4"/>
  <c r="F227" i="4"/>
  <c r="K226" i="4"/>
  <c r="J226" i="4"/>
  <c r="F226" i="4"/>
  <c r="K225" i="4"/>
  <c r="J225" i="4"/>
  <c r="F225" i="4"/>
  <c r="K224" i="4"/>
  <c r="J224" i="4"/>
  <c r="F224" i="4"/>
  <c r="K223" i="4"/>
  <c r="J223" i="4"/>
  <c r="F223" i="4"/>
  <c r="K222" i="4"/>
  <c r="J222" i="4"/>
  <c r="F222" i="4"/>
  <c r="K221" i="4"/>
  <c r="J221" i="4"/>
  <c r="F221" i="4"/>
  <c r="K220" i="4"/>
  <c r="J220" i="4"/>
  <c r="F220" i="4"/>
  <c r="K219" i="4"/>
  <c r="J219" i="4"/>
  <c r="F219" i="4"/>
  <c r="K218" i="4"/>
  <c r="J218" i="4"/>
  <c r="F218" i="4"/>
  <c r="K217" i="4"/>
  <c r="J217" i="4"/>
  <c r="F217" i="4"/>
  <c r="K216" i="4"/>
  <c r="J216" i="4"/>
  <c r="F216" i="4"/>
  <c r="K215" i="4"/>
  <c r="J215" i="4"/>
  <c r="F215" i="4"/>
  <c r="K214" i="4"/>
  <c r="J214" i="4"/>
  <c r="F214" i="4"/>
  <c r="K213" i="4"/>
  <c r="J213" i="4"/>
  <c r="F213" i="4"/>
  <c r="K212" i="4"/>
  <c r="J212" i="4"/>
  <c r="F212" i="4"/>
  <c r="K211" i="4"/>
  <c r="J211" i="4"/>
  <c r="F211" i="4"/>
  <c r="K210" i="4"/>
  <c r="J210" i="4"/>
  <c r="F210" i="4"/>
  <c r="K209" i="4"/>
  <c r="J209" i="4"/>
  <c r="F209" i="4"/>
  <c r="K208" i="4"/>
  <c r="J208" i="4"/>
  <c r="F208" i="4"/>
  <c r="K207" i="4"/>
  <c r="J207" i="4"/>
  <c r="F207" i="4"/>
  <c r="K206" i="4"/>
  <c r="J206" i="4"/>
  <c r="F206" i="4"/>
  <c r="K205" i="4"/>
  <c r="J205" i="4"/>
  <c r="F205" i="4"/>
  <c r="K204" i="4"/>
  <c r="J204" i="4"/>
  <c r="F204" i="4"/>
  <c r="K203" i="4"/>
  <c r="J203" i="4"/>
  <c r="F203" i="4"/>
  <c r="K202" i="4"/>
  <c r="J202" i="4"/>
  <c r="F202" i="4"/>
  <c r="K201" i="4"/>
  <c r="J201" i="4"/>
  <c r="F201" i="4"/>
  <c r="K200" i="4"/>
  <c r="J200" i="4"/>
  <c r="F200" i="4"/>
  <c r="K199" i="4"/>
  <c r="J199" i="4"/>
  <c r="F199" i="4"/>
  <c r="K198" i="4"/>
  <c r="J198" i="4"/>
  <c r="F198" i="4"/>
  <c r="K197" i="4"/>
  <c r="J197" i="4"/>
  <c r="F197" i="4"/>
  <c r="K196" i="4"/>
  <c r="J196" i="4"/>
  <c r="F196" i="4"/>
  <c r="K195" i="4"/>
  <c r="J195" i="4"/>
  <c r="F195" i="4"/>
  <c r="K194" i="4"/>
  <c r="J194" i="4"/>
  <c r="F194" i="4"/>
  <c r="K193" i="4"/>
  <c r="J193" i="4"/>
  <c r="F193" i="4"/>
  <c r="K192" i="4"/>
  <c r="J192" i="4"/>
  <c r="F192" i="4"/>
  <c r="K191" i="4"/>
  <c r="J191" i="4"/>
  <c r="F191" i="4"/>
  <c r="K190" i="4"/>
  <c r="J190" i="4"/>
  <c r="F190" i="4"/>
  <c r="K189" i="4"/>
  <c r="J189" i="4"/>
  <c r="F189" i="4"/>
  <c r="K188" i="4"/>
  <c r="J188" i="4"/>
  <c r="F188" i="4"/>
  <c r="K187" i="4"/>
  <c r="J187" i="4"/>
  <c r="F187" i="4"/>
  <c r="K186" i="4"/>
  <c r="J186" i="4"/>
  <c r="F186" i="4"/>
  <c r="K185" i="4"/>
  <c r="J185" i="4"/>
  <c r="F185" i="4"/>
  <c r="K184" i="4"/>
  <c r="J184" i="4"/>
  <c r="F184" i="4"/>
  <c r="K183" i="4"/>
  <c r="J183" i="4"/>
  <c r="F183" i="4"/>
  <c r="K182" i="4"/>
  <c r="J182" i="4"/>
  <c r="F182" i="4"/>
  <c r="K181" i="4"/>
  <c r="J181" i="4"/>
  <c r="F181" i="4"/>
  <c r="K180" i="4"/>
  <c r="J180" i="4"/>
  <c r="F180" i="4"/>
  <c r="K179" i="4"/>
  <c r="J179" i="4"/>
  <c r="F179" i="4"/>
  <c r="K178" i="4"/>
  <c r="J178" i="4"/>
  <c r="F178" i="4"/>
  <c r="K177" i="4"/>
  <c r="J177" i="4"/>
  <c r="F177" i="4"/>
  <c r="K176" i="4"/>
  <c r="J176" i="4"/>
  <c r="F176" i="4"/>
  <c r="K175" i="4"/>
  <c r="J175" i="4"/>
  <c r="F175" i="4"/>
  <c r="K174" i="4"/>
  <c r="J174" i="4"/>
  <c r="F174" i="4"/>
  <c r="K173" i="4"/>
  <c r="J173" i="4"/>
  <c r="F173" i="4"/>
  <c r="K172" i="4"/>
  <c r="J172" i="4"/>
  <c r="F172" i="4"/>
  <c r="K171" i="4"/>
  <c r="J171" i="4"/>
  <c r="F171" i="4"/>
  <c r="K170" i="4"/>
  <c r="J170" i="4"/>
  <c r="F170" i="4"/>
  <c r="K169" i="4"/>
  <c r="J169" i="4"/>
  <c r="F169" i="4"/>
  <c r="K168" i="4"/>
  <c r="J168" i="4"/>
  <c r="F168" i="4"/>
  <c r="K167" i="4"/>
  <c r="J167" i="4"/>
  <c r="F167" i="4"/>
  <c r="K166" i="4"/>
  <c r="J166" i="4"/>
  <c r="F166" i="4"/>
  <c r="K165" i="4"/>
  <c r="J165" i="4"/>
  <c r="F165" i="4"/>
  <c r="K164" i="4"/>
  <c r="J164" i="4"/>
  <c r="F164" i="4"/>
  <c r="K163" i="4"/>
  <c r="J163" i="4"/>
  <c r="F163" i="4"/>
  <c r="K162" i="4"/>
  <c r="J162" i="4"/>
  <c r="F162" i="4"/>
  <c r="K161" i="4"/>
  <c r="J161" i="4"/>
  <c r="F161" i="4"/>
  <c r="K160" i="4"/>
  <c r="J160" i="4"/>
  <c r="F160" i="4"/>
  <c r="K159" i="4"/>
  <c r="J159" i="4"/>
  <c r="F159" i="4"/>
  <c r="K158" i="4"/>
  <c r="J158" i="4"/>
  <c r="F158" i="4"/>
  <c r="K157" i="4"/>
  <c r="J157" i="4"/>
  <c r="F157" i="4"/>
  <c r="K156" i="4"/>
  <c r="J156" i="4"/>
  <c r="F156" i="4"/>
  <c r="K155" i="4"/>
  <c r="J155" i="4"/>
  <c r="F155" i="4"/>
  <c r="K154" i="4"/>
  <c r="J154" i="4"/>
  <c r="F154" i="4"/>
  <c r="K153" i="4"/>
  <c r="J153" i="4"/>
  <c r="F153" i="4"/>
  <c r="K152" i="4"/>
  <c r="J152" i="4"/>
  <c r="F152" i="4"/>
  <c r="K151" i="4"/>
  <c r="J151" i="4"/>
  <c r="F151" i="4"/>
  <c r="K150" i="4"/>
  <c r="J150" i="4"/>
  <c r="F150" i="4"/>
  <c r="K149" i="4"/>
  <c r="J149" i="4"/>
  <c r="F149" i="4"/>
  <c r="K148" i="4"/>
  <c r="J148" i="4"/>
  <c r="F148" i="4"/>
  <c r="K147" i="4"/>
  <c r="J147" i="4"/>
  <c r="F147" i="4"/>
  <c r="K146" i="4"/>
  <c r="J146" i="4"/>
  <c r="F146" i="4"/>
  <c r="K145" i="4"/>
  <c r="J145" i="4"/>
  <c r="F145" i="4"/>
  <c r="K144" i="4"/>
  <c r="J144" i="4"/>
  <c r="F144" i="4"/>
  <c r="K143" i="4"/>
  <c r="J143" i="4"/>
  <c r="F143" i="4"/>
  <c r="K142" i="4"/>
  <c r="J142" i="4"/>
  <c r="F142" i="4"/>
  <c r="K141" i="4"/>
  <c r="J141" i="4"/>
  <c r="F141" i="4"/>
  <c r="K140" i="4"/>
  <c r="J140" i="4"/>
  <c r="F140" i="4"/>
  <c r="K139" i="4"/>
  <c r="J139" i="4"/>
  <c r="F139" i="4"/>
  <c r="K138" i="4"/>
  <c r="J138" i="4"/>
  <c r="F138" i="4"/>
  <c r="K137" i="4"/>
  <c r="J137" i="4"/>
  <c r="F137" i="4"/>
  <c r="K136" i="4"/>
  <c r="J136" i="4"/>
  <c r="F136" i="4"/>
  <c r="K135" i="4"/>
  <c r="J135" i="4"/>
  <c r="F135" i="4"/>
  <c r="K134" i="4"/>
  <c r="J134" i="4"/>
  <c r="F134" i="4"/>
  <c r="K133" i="4"/>
  <c r="J133" i="4"/>
  <c r="F133" i="4"/>
  <c r="K132" i="4"/>
  <c r="J132" i="4"/>
  <c r="F132" i="4"/>
  <c r="K131" i="4"/>
  <c r="J131" i="4"/>
  <c r="F131" i="4"/>
  <c r="K130" i="4"/>
  <c r="J130" i="4"/>
  <c r="F130" i="4"/>
  <c r="K129" i="4"/>
  <c r="J129" i="4"/>
  <c r="F129" i="4"/>
  <c r="K128" i="4"/>
  <c r="J128" i="4"/>
  <c r="F128" i="4"/>
  <c r="K127" i="4"/>
  <c r="J127" i="4"/>
  <c r="F127" i="4"/>
  <c r="K126" i="4"/>
  <c r="J126" i="4"/>
  <c r="F126" i="4"/>
  <c r="K125" i="4"/>
  <c r="J125" i="4"/>
  <c r="K124" i="4"/>
  <c r="J124" i="4"/>
  <c r="F124" i="4"/>
  <c r="K123" i="4"/>
  <c r="J123" i="4"/>
  <c r="F123" i="4"/>
  <c r="K122" i="4"/>
  <c r="J122" i="4"/>
  <c r="F122" i="4"/>
  <c r="K121" i="4"/>
  <c r="J121" i="4"/>
  <c r="F121" i="4"/>
  <c r="K120" i="4"/>
  <c r="J120" i="4"/>
  <c r="F120" i="4"/>
  <c r="K119" i="4"/>
  <c r="J119" i="4"/>
  <c r="F119" i="4"/>
  <c r="K118" i="4"/>
  <c r="J118" i="4"/>
  <c r="F118" i="4"/>
  <c r="K117" i="4"/>
  <c r="J117" i="4"/>
  <c r="F117" i="4"/>
  <c r="K116" i="4"/>
  <c r="J116" i="4"/>
  <c r="F116" i="4"/>
  <c r="K115" i="4"/>
  <c r="J115" i="4"/>
  <c r="F115" i="4"/>
  <c r="K114" i="4"/>
  <c r="J114" i="4"/>
  <c r="F114" i="4"/>
  <c r="K113" i="4"/>
  <c r="J113" i="4"/>
  <c r="F113" i="4"/>
  <c r="K112" i="4"/>
  <c r="J112" i="4"/>
  <c r="F112" i="4"/>
  <c r="K111" i="4"/>
  <c r="J111" i="4"/>
  <c r="F111" i="4"/>
  <c r="K110" i="4"/>
  <c r="J110" i="4"/>
  <c r="F110" i="4"/>
  <c r="K109" i="4"/>
  <c r="J109" i="4"/>
  <c r="F109" i="4"/>
  <c r="K108" i="4"/>
  <c r="J108" i="4"/>
  <c r="F108" i="4"/>
  <c r="K107" i="4"/>
  <c r="J107" i="4"/>
  <c r="F107" i="4"/>
  <c r="K106" i="4"/>
  <c r="J106" i="4"/>
  <c r="F106" i="4"/>
  <c r="K105" i="4"/>
  <c r="J105" i="4"/>
  <c r="F105" i="4"/>
  <c r="K104" i="4"/>
  <c r="J104" i="4"/>
  <c r="F104" i="4"/>
  <c r="K103" i="4"/>
  <c r="J103" i="4"/>
  <c r="K102" i="4"/>
  <c r="J102" i="4"/>
  <c r="F102" i="4"/>
  <c r="K101" i="4"/>
  <c r="J101" i="4"/>
  <c r="F101" i="4"/>
  <c r="K100" i="4"/>
  <c r="J100" i="4"/>
  <c r="F100" i="4"/>
  <c r="K99" i="4"/>
  <c r="J99" i="4"/>
  <c r="F99" i="4"/>
  <c r="K98" i="4"/>
  <c r="J98" i="4"/>
  <c r="F98" i="4"/>
  <c r="K97" i="4"/>
  <c r="J97" i="4"/>
  <c r="F97" i="4"/>
  <c r="K96" i="4"/>
  <c r="J96" i="4"/>
  <c r="F96" i="4"/>
  <c r="K95" i="4"/>
  <c r="J95" i="4"/>
  <c r="F95" i="4"/>
  <c r="K94" i="4"/>
  <c r="J94" i="4"/>
  <c r="F94" i="4"/>
  <c r="K93" i="4"/>
  <c r="J93" i="4"/>
  <c r="F93" i="4"/>
  <c r="K92" i="4"/>
  <c r="J92" i="4"/>
  <c r="F92" i="4"/>
  <c r="K91" i="4"/>
  <c r="J91" i="4"/>
  <c r="K90" i="4"/>
  <c r="J90" i="4"/>
  <c r="F90" i="4"/>
  <c r="K89" i="4"/>
  <c r="J89" i="4"/>
  <c r="F89" i="4"/>
  <c r="K88" i="4"/>
  <c r="J88" i="4"/>
  <c r="F88" i="4"/>
  <c r="K87" i="4"/>
  <c r="J87" i="4"/>
  <c r="F87" i="4"/>
  <c r="K86" i="4"/>
  <c r="J86" i="4"/>
  <c r="F86" i="4"/>
  <c r="K85" i="4"/>
  <c r="J85" i="4"/>
  <c r="F85" i="4"/>
  <c r="K84" i="4"/>
  <c r="J84" i="4"/>
  <c r="F84" i="4"/>
  <c r="K83" i="4"/>
  <c r="J83" i="4"/>
  <c r="F83" i="4"/>
  <c r="K82" i="4"/>
  <c r="J82" i="4"/>
  <c r="F82" i="4"/>
  <c r="K81" i="4"/>
  <c r="J81" i="4"/>
  <c r="F81" i="4"/>
  <c r="K80" i="4"/>
  <c r="J80" i="4"/>
  <c r="F80" i="4"/>
  <c r="K79" i="4"/>
  <c r="J79" i="4"/>
  <c r="F79" i="4"/>
  <c r="K78" i="4"/>
  <c r="J78" i="4"/>
  <c r="F78" i="4"/>
  <c r="K77" i="4"/>
  <c r="J77" i="4"/>
  <c r="F77" i="4"/>
  <c r="K76" i="4"/>
  <c r="J76" i="4"/>
  <c r="F76" i="4"/>
  <c r="K75" i="4"/>
  <c r="J75" i="4"/>
  <c r="F75" i="4"/>
  <c r="K74" i="4"/>
  <c r="J74" i="4"/>
  <c r="K73" i="4"/>
  <c r="J73" i="4"/>
  <c r="F73" i="4"/>
  <c r="K72" i="4"/>
  <c r="J72" i="4"/>
  <c r="F72" i="4"/>
  <c r="K71" i="4"/>
  <c r="J71" i="4"/>
  <c r="F71" i="4"/>
  <c r="K70" i="4"/>
  <c r="J70" i="4"/>
  <c r="F70" i="4"/>
  <c r="K69" i="4"/>
  <c r="J69" i="4"/>
  <c r="F69" i="4"/>
  <c r="K68" i="4"/>
  <c r="J68" i="4"/>
  <c r="F68" i="4"/>
  <c r="K67" i="4"/>
  <c r="J67" i="4"/>
  <c r="F67" i="4"/>
  <c r="K66" i="4"/>
  <c r="J66" i="4"/>
  <c r="F66" i="4"/>
  <c r="K65" i="4"/>
  <c r="J65" i="4"/>
  <c r="F65" i="4"/>
  <c r="K64" i="4"/>
  <c r="J64" i="4"/>
  <c r="F64" i="4"/>
  <c r="K63" i="4"/>
  <c r="J63" i="4"/>
  <c r="F63" i="4"/>
  <c r="K62" i="4"/>
  <c r="J62" i="4"/>
  <c r="F62" i="4"/>
  <c r="K61" i="4"/>
  <c r="J61" i="4"/>
  <c r="F61" i="4"/>
  <c r="K60" i="4"/>
  <c r="J60" i="4"/>
  <c r="F60" i="4"/>
  <c r="K59" i="4"/>
  <c r="J59" i="4"/>
  <c r="F59" i="4"/>
  <c r="K58" i="4"/>
  <c r="J58" i="4"/>
  <c r="F58" i="4"/>
  <c r="K57" i="4"/>
  <c r="J57" i="4"/>
  <c r="F57" i="4"/>
  <c r="K56" i="4"/>
  <c r="J56" i="4"/>
  <c r="F56" i="4"/>
  <c r="K55" i="4"/>
  <c r="J55" i="4"/>
  <c r="F55" i="4"/>
  <c r="K54" i="4"/>
  <c r="J54" i="4"/>
  <c r="F54" i="4"/>
  <c r="K53" i="4"/>
  <c r="J53" i="4"/>
  <c r="F53" i="4"/>
  <c r="K52" i="4"/>
  <c r="J52" i="4"/>
  <c r="F52" i="4"/>
  <c r="K51" i="4"/>
  <c r="J51" i="4"/>
  <c r="F51" i="4"/>
  <c r="K50" i="4"/>
  <c r="J50" i="4"/>
  <c r="F50" i="4"/>
  <c r="K49" i="4"/>
  <c r="J49" i="4"/>
  <c r="F49" i="4"/>
  <c r="K48" i="4"/>
  <c r="J48" i="4"/>
  <c r="F48" i="4"/>
  <c r="K47" i="4"/>
  <c r="J47" i="4"/>
  <c r="F47" i="4"/>
  <c r="K46" i="4"/>
  <c r="J46" i="4"/>
  <c r="F46" i="4"/>
  <c r="K45" i="4"/>
  <c r="J45" i="4"/>
  <c r="F45" i="4"/>
  <c r="K44" i="4"/>
  <c r="J44" i="4"/>
  <c r="F44" i="4"/>
  <c r="K43" i="4"/>
  <c r="J43" i="4"/>
  <c r="F43" i="4"/>
  <c r="K42" i="4"/>
  <c r="J42" i="4"/>
  <c r="F42" i="4"/>
  <c r="K41" i="4"/>
  <c r="J41" i="4"/>
  <c r="F41" i="4"/>
  <c r="K40" i="4"/>
  <c r="J40" i="4"/>
  <c r="F40" i="4"/>
  <c r="K39" i="4"/>
  <c r="J39" i="4"/>
  <c r="F39" i="4"/>
  <c r="K38" i="4"/>
  <c r="J38" i="4"/>
  <c r="F38" i="4"/>
  <c r="K37" i="4"/>
  <c r="J37" i="4"/>
  <c r="F37" i="4"/>
  <c r="K36" i="4"/>
  <c r="J36" i="4"/>
  <c r="F36" i="4"/>
  <c r="K35" i="4"/>
  <c r="J35" i="4"/>
  <c r="F35" i="4"/>
  <c r="K34" i="4"/>
  <c r="J34" i="4"/>
  <c r="F34" i="4"/>
  <c r="K33" i="4"/>
  <c r="J33" i="4"/>
  <c r="F33" i="4"/>
  <c r="K32" i="4"/>
  <c r="J32" i="4"/>
  <c r="F32" i="4"/>
  <c r="K31" i="4"/>
  <c r="J31" i="4"/>
  <c r="F31" i="4"/>
  <c r="K30" i="4"/>
  <c r="J30" i="4"/>
  <c r="F30" i="4"/>
  <c r="K29" i="4"/>
  <c r="J29" i="4"/>
  <c r="F29" i="4"/>
  <c r="K28" i="4"/>
  <c r="J28" i="4"/>
  <c r="F28" i="4"/>
  <c r="K27" i="4"/>
  <c r="J27" i="4"/>
  <c r="F27" i="4"/>
  <c r="K26" i="4"/>
  <c r="J26" i="4"/>
  <c r="F26" i="4"/>
  <c r="K25" i="4"/>
  <c r="J25" i="4"/>
  <c r="F25" i="4"/>
  <c r="K24" i="4"/>
  <c r="J24" i="4"/>
  <c r="F24" i="4"/>
  <c r="K23" i="4"/>
  <c r="J23" i="4"/>
  <c r="F23" i="4"/>
  <c r="K22" i="4"/>
  <c r="J22" i="4"/>
  <c r="F22" i="4"/>
  <c r="K21" i="4"/>
  <c r="J21" i="4"/>
  <c r="F21" i="4"/>
  <c r="K20" i="4"/>
  <c r="J20" i="4"/>
  <c r="F20" i="4"/>
  <c r="K19" i="4"/>
  <c r="J19" i="4"/>
  <c r="F19" i="4"/>
  <c r="K18" i="4"/>
  <c r="J18" i="4"/>
  <c r="K17" i="4"/>
  <c r="J17" i="4"/>
  <c r="F17" i="4"/>
  <c r="K16" i="4"/>
  <c r="J16" i="4"/>
  <c r="F16" i="4"/>
  <c r="K15" i="4"/>
  <c r="J15" i="4"/>
  <c r="F15" i="4"/>
  <c r="K14" i="4"/>
  <c r="J14" i="4"/>
  <c r="F14" i="4"/>
  <c r="K13" i="4"/>
  <c r="J13" i="4"/>
  <c r="F13" i="4"/>
  <c r="K12" i="4"/>
  <c r="J12" i="4"/>
  <c r="F12" i="4"/>
  <c r="K11" i="4"/>
  <c r="J11" i="4"/>
  <c r="F11" i="4"/>
  <c r="K10" i="4"/>
  <c r="J10" i="4"/>
  <c r="K9" i="4"/>
  <c r="J9" i="4"/>
  <c r="F9" i="4"/>
  <c r="K8" i="4"/>
  <c r="J8" i="4"/>
  <c r="F8" i="4"/>
  <c r="K7" i="4"/>
  <c r="J7" i="4"/>
  <c r="F7" i="4"/>
  <c r="K6" i="4"/>
  <c r="J6" i="4"/>
  <c r="F6" i="4"/>
  <c r="K5" i="4"/>
  <c r="J5" i="4"/>
  <c r="F5" i="4"/>
  <c r="K4" i="4"/>
  <c r="J4" i="4"/>
  <c r="F4" i="4"/>
  <c r="K3" i="4"/>
  <c r="J3" i="4"/>
  <c r="F3" i="4"/>
  <c r="K2" i="4"/>
  <c r="J2" i="4"/>
  <c r="F2" i="4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379" i="3"/>
  <c r="K378" i="3"/>
  <c r="K377" i="3"/>
  <c r="K373" i="3"/>
  <c r="K372" i="3"/>
  <c r="K371" i="3"/>
  <c r="K370" i="3"/>
  <c r="K369" i="3"/>
  <c r="K368" i="3"/>
  <c r="K367" i="3"/>
  <c r="K366" i="3"/>
  <c r="K365" i="3"/>
  <c r="K364" i="3"/>
  <c r="K363" i="3"/>
  <c r="K361" i="3"/>
  <c r="K360" i="3"/>
  <c r="K359" i="3"/>
  <c r="K358" i="3"/>
  <c r="K357" i="3"/>
  <c r="K355" i="3"/>
  <c r="K353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0" i="3"/>
  <c r="K299" i="3"/>
  <c r="K298" i="3"/>
  <c r="K297" i="3"/>
  <c r="K296" i="3"/>
  <c r="K295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5" i="3"/>
  <c r="K274" i="3"/>
  <c r="K270" i="3"/>
  <c r="K269" i="3"/>
  <c r="K268" i="3"/>
  <c r="K267" i="3"/>
  <c r="K266" i="3"/>
  <c r="K265" i="3"/>
  <c r="K263" i="3"/>
  <c r="K259" i="3"/>
  <c r="K258" i="3"/>
  <c r="K257" i="3"/>
  <c r="K256" i="3"/>
  <c r="K255" i="3"/>
  <c r="K254" i="3"/>
  <c r="K253" i="3"/>
  <c r="K252" i="3"/>
  <c r="K249" i="3"/>
  <c r="K248" i="3"/>
  <c r="K246" i="3"/>
  <c r="K241" i="3"/>
  <c r="K240" i="3"/>
  <c r="K239" i="3"/>
  <c r="K238" i="3"/>
  <c r="K235" i="3"/>
  <c r="K234" i="3"/>
  <c r="K233" i="3"/>
  <c r="K232" i="3"/>
  <c r="K231" i="3"/>
  <c r="K230" i="3"/>
  <c r="K229" i="3"/>
  <c r="K227" i="3"/>
  <c r="K226" i="3"/>
  <c r="K225" i="3"/>
  <c r="K224" i="3"/>
  <c r="K223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4" i="3"/>
  <c r="K202" i="3"/>
  <c r="K201" i="3"/>
  <c r="K200" i="3"/>
  <c r="K199" i="3"/>
  <c r="K197" i="3"/>
  <c r="K196" i="3"/>
  <c r="K195" i="3"/>
  <c r="K194" i="3"/>
  <c r="K193" i="3"/>
  <c r="K192" i="3"/>
  <c r="K190" i="3"/>
  <c r="K189" i="3"/>
  <c r="K188" i="3"/>
  <c r="K186" i="3"/>
  <c r="K185" i="3"/>
  <c r="K184" i="3"/>
  <c r="K183" i="3"/>
  <c r="K182" i="3"/>
  <c r="K181" i="3"/>
  <c r="K180" i="3"/>
  <c r="K179" i="3"/>
  <c r="K178" i="3"/>
  <c r="K173" i="3"/>
  <c r="K172" i="3"/>
  <c r="K171" i="3"/>
  <c r="K170" i="3"/>
  <c r="K169" i="3"/>
  <c r="K168" i="3"/>
  <c r="K167" i="3"/>
  <c r="K166" i="3"/>
  <c r="K165" i="3"/>
  <c r="K164" i="3"/>
  <c r="K163" i="3"/>
  <c r="K161" i="3"/>
  <c r="K159" i="3"/>
  <c r="K157" i="3"/>
  <c r="K156" i="3"/>
  <c r="K155" i="3"/>
  <c r="K154" i="3"/>
  <c r="K152" i="3"/>
  <c r="K151" i="3"/>
  <c r="K150" i="3"/>
  <c r="K149" i="3"/>
  <c r="K147" i="3"/>
  <c r="K146" i="3"/>
  <c r="K145" i="3"/>
  <c r="K144" i="3"/>
  <c r="K143" i="3"/>
  <c r="K142" i="3"/>
  <c r="K141" i="3"/>
  <c r="K140" i="3"/>
  <c r="K139" i="3"/>
  <c r="K137" i="3"/>
  <c r="K136" i="3"/>
  <c r="K135" i="3"/>
  <c r="K134" i="3"/>
  <c r="K133" i="3"/>
  <c r="K132" i="3"/>
  <c r="K131" i="3"/>
  <c r="K128" i="3"/>
  <c r="K127" i="3"/>
  <c r="K126" i="3"/>
  <c r="K125" i="3"/>
  <c r="K124" i="3"/>
  <c r="K123" i="3"/>
  <c r="K122" i="3"/>
  <c r="K121" i="3"/>
  <c r="K119" i="3"/>
  <c r="K118" i="3"/>
  <c r="K116" i="3"/>
  <c r="K115" i="3"/>
  <c r="K113" i="3"/>
  <c r="K112" i="3"/>
  <c r="K110" i="3"/>
  <c r="K109" i="3"/>
  <c r="K108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2" i="3"/>
  <c r="K91" i="3"/>
  <c r="K90" i="3"/>
  <c r="K89" i="3"/>
  <c r="K88" i="3"/>
  <c r="K87" i="3"/>
  <c r="K86" i="3"/>
  <c r="K85" i="3"/>
  <c r="K84" i="3"/>
  <c r="K83" i="3"/>
  <c r="K81" i="3"/>
  <c r="K79" i="3"/>
  <c r="K77" i="3"/>
  <c r="K76" i="3"/>
  <c r="K75" i="3"/>
  <c r="K72" i="3"/>
  <c r="K71" i="3"/>
  <c r="K70" i="3"/>
  <c r="K69" i="3"/>
  <c r="K68" i="3"/>
  <c r="K67" i="3"/>
  <c r="K66" i="3"/>
  <c r="K65" i="3"/>
  <c r="K63" i="3"/>
  <c r="K62" i="3"/>
  <c r="K60" i="3"/>
  <c r="K59" i="3"/>
  <c r="K58" i="3"/>
  <c r="K57" i="3"/>
  <c r="K56" i="3"/>
  <c r="K55" i="3"/>
  <c r="K54" i="3"/>
  <c r="K52" i="3"/>
  <c r="K50" i="3"/>
  <c r="K49" i="3"/>
  <c r="K47" i="3"/>
  <c r="K46" i="3"/>
  <c r="K45" i="3"/>
  <c r="K44" i="3"/>
  <c r="K42" i="3"/>
  <c r="K41" i="3"/>
  <c r="K40" i="3"/>
  <c r="K39" i="3"/>
  <c r="K38" i="3"/>
  <c r="K36" i="3"/>
  <c r="K35" i="3"/>
  <c r="K34" i="3"/>
  <c r="K33" i="3"/>
  <c r="K32" i="3"/>
  <c r="K31" i="3"/>
  <c r="K30" i="3"/>
  <c r="K29" i="3"/>
  <c r="K27" i="3"/>
  <c r="K26" i="3"/>
  <c r="K25" i="3"/>
  <c r="K23" i="3"/>
  <c r="K22" i="3"/>
  <c r="K21" i="3"/>
  <c r="K20" i="3"/>
  <c r="K19" i="3"/>
  <c r="K17" i="3"/>
  <c r="K16" i="3"/>
  <c r="K15" i="3"/>
  <c r="K14" i="3"/>
  <c r="K13" i="3"/>
  <c r="K12" i="3"/>
  <c r="K11" i="3"/>
  <c r="K10" i="3"/>
  <c r="K9" i="3"/>
  <c r="K8" i="3"/>
  <c r="K7" i="3"/>
  <c r="K5" i="3"/>
  <c r="K4" i="3"/>
  <c r="K3" i="3"/>
  <c r="K2" i="3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0" i="1"/>
  <c r="E90" i="1"/>
  <c r="AK89" i="1"/>
  <c r="AK88" i="1"/>
  <c r="E88" i="1"/>
  <c r="AK87" i="1"/>
  <c r="F87" i="1"/>
  <c r="AK86" i="1"/>
  <c r="F86" i="1"/>
  <c r="AK85" i="1"/>
  <c r="F85" i="1"/>
  <c r="AK84" i="1"/>
  <c r="E84" i="1"/>
  <c r="AK83" i="1"/>
  <c r="E83" i="1"/>
  <c r="AK82" i="1"/>
  <c r="F82" i="1"/>
  <c r="AK81" i="1"/>
  <c r="AK80" i="1"/>
  <c r="E80" i="1"/>
  <c r="AK79" i="1"/>
  <c r="F79" i="1"/>
  <c r="AK78" i="1"/>
  <c r="AK77" i="1"/>
  <c r="F77" i="1"/>
  <c r="AK76" i="1"/>
  <c r="F76" i="1"/>
  <c r="AK75" i="1"/>
  <c r="F75" i="1"/>
  <c r="AK74" i="1"/>
  <c r="AK73" i="1"/>
  <c r="AK72" i="1"/>
  <c r="AK71" i="1"/>
  <c r="F71" i="1"/>
  <c r="AK70" i="1"/>
  <c r="F70" i="1"/>
  <c r="AK69" i="1"/>
  <c r="F69" i="1"/>
  <c r="AK68" i="1"/>
  <c r="F68" i="1"/>
  <c r="AK67" i="1"/>
  <c r="F67" i="1"/>
  <c r="AK66" i="1"/>
  <c r="F66" i="1"/>
  <c r="AK65" i="1"/>
  <c r="E65" i="1"/>
  <c r="AK64" i="1"/>
  <c r="F64" i="1"/>
  <c r="AK63" i="1"/>
  <c r="F63" i="1"/>
  <c r="AK62" i="1"/>
  <c r="F62" i="1"/>
  <c r="AK61" i="1"/>
  <c r="F61" i="1"/>
  <c r="AK60" i="1"/>
  <c r="E60" i="1"/>
  <c r="AK59" i="1"/>
  <c r="F59" i="1"/>
  <c r="AK58" i="1"/>
  <c r="F58" i="1"/>
  <c r="AK57" i="1"/>
  <c r="Y57" i="1"/>
  <c r="X57" i="1"/>
  <c r="F57" i="1"/>
  <c r="AK56" i="1"/>
  <c r="F56" i="1"/>
  <c r="AK55" i="1"/>
  <c r="F55" i="1"/>
  <c r="AK54" i="1"/>
  <c r="E54" i="1"/>
  <c r="AK52" i="1"/>
  <c r="K52" i="1"/>
  <c r="F52" i="1"/>
  <c r="AK51" i="1"/>
  <c r="K51" i="1"/>
  <c r="F51" i="1"/>
  <c r="AK50" i="1"/>
  <c r="F50" i="1"/>
  <c r="AK49" i="1"/>
  <c r="F49" i="1"/>
  <c r="AK48" i="1"/>
  <c r="AA48" i="1"/>
  <c r="Z48" i="1"/>
  <c r="X48" i="1"/>
  <c r="W48" i="1"/>
  <c r="F48" i="1"/>
  <c r="AK47" i="1"/>
  <c r="X47" i="1"/>
  <c r="W47" i="1"/>
  <c r="F47" i="1"/>
  <c r="AK46" i="1"/>
  <c r="F46" i="1"/>
  <c r="AK45" i="1"/>
  <c r="F45" i="1"/>
  <c r="AK44" i="1"/>
  <c r="F44" i="1"/>
  <c r="AK43" i="1"/>
  <c r="F43" i="1"/>
  <c r="AK42" i="1"/>
  <c r="F42" i="1"/>
  <c r="AK41" i="1"/>
  <c r="F41" i="1"/>
  <c r="AK40" i="1"/>
  <c r="F40" i="1"/>
  <c r="AK39" i="1"/>
  <c r="F39" i="1"/>
  <c r="AK38" i="1"/>
  <c r="F38" i="1"/>
  <c r="AK37" i="1"/>
  <c r="F37" i="1"/>
  <c r="AK36" i="1"/>
  <c r="F36" i="1"/>
  <c r="AK35" i="1"/>
  <c r="AK34" i="1"/>
  <c r="AK33" i="1"/>
  <c r="AK32" i="1"/>
  <c r="AH31" i="1"/>
  <c r="AF31" i="1"/>
  <c r="AK31" i="1" s="1"/>
  <c r="AK30" i="1"/>
  <c r="F30" i="1"/>
  <c r="AK29" i="1"/>
  <c r="F29" i="1"/>
  <c r="AK28" i="1"/>
  <c r="F28" i="1"/>
  <c r="AK27" i="1"/>
  <c r="F27" i="1"/>
  <c r="AK26" i="1"/>
  <c r="F26" i="1"/>
  <c r="AK25" i="1"/>
  <c r="F25" i="1"/>
  <c r="AK24" i="1"/>
  <c r="F24" i="1"/>
  <c r="AK23" i="1"/>
  <c r="F23" i="1"/>
  <c r="AK22" i="1"/>
  <c r="F22" i="1"/>
  <c r="AK21" i="1"/>
  <c r="F21" i="1"/>
  <c r="AK20" i="1"/>
  <c r="F20" i="1"/>
  <c r="AK19" i="1"/>
  <c r="G19" i="1"/>
  <c r="F19" i="1"/>
  <c r="AK18" i="1"/>
  <c r="F18" i="1"/>
  <c r="AK17" i="1"/>
  <c r="F17" i="1"/>
  <c r="AK16" i="1"/>
  <c r="F16" i="1"/>
  <c r="AK15" i="1"/>
  <c r="F15" i="1"/>
  <c r="AK14" i="1"/>
  <c r="F14" i="1"/>
  <c r="AK13" i="1"/>
  <c r="F13" i="1"/>
  <c r="AK12" i="1"/>
  <c r="F12" i="1"/>
  <c r="AK11" i="1"/>
  <c r="F11" i="1"/>
  <c r="AK10" i="1"/>
  <c r="F10" i="1"/>
  <c r="AK9" i="1"/>
  <c r="F9" i="1"/>
  <c r="AK8" i="1"/>
  <c r="F8" i="1"/>
  <c r="AK7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O24" authorId="0" shapeId="0" xr:uid="{00000000-0006-0000-0000-000002000000}">
      <text>
        <r>
          <rPr>
            <sz val="10"/>
            <color rgb="FF000000"/>
            <rFont val="Calibri"/>
            <scheme val="minor"/>
          </rPr>
          <t>======
ID#AAAAVojBp-o
Indra Boving    (2022-03-08 17:30:08)
probably overshot</t>
        </r>
      </text>
    </comment>
    <comment ref="G26" authorId="0" shapeId="0" xr:uid="{00000000-0006-0000-0000-000006000000}">
      <text>
        <r>
          <rPr>
            <sz val="10"/>
            <color rgb="FF000000"/>
            <rFont val="Calibri"/>
            <scheme val="minor"/>
          </rPr>
          <t>======
ID#AAAAWHQiSMY
    (2022-03-01 22:25:29)
and 11</t>
        </r>
      </text>
    </comment>
    <comment ref="G28" authorId="0" shapeId="0" xr:uid="{00000000-0006-0000-0000-000010000000}">
      <text>
        <r>
          <rPr>
            <sz val="10"/>
            <color rgb="FF000000"/>
            <rFont val="Calibri"/>
            <scheme val="minor"/>
          </rPr>
          <t>======
ID#AAAAWHQiSLw
    (2022-03-01 22:25:29)
and 16</t>
        </r>
      </text>
    </comment>
    <comment ref="G30" authorId="0" shapeId="0" xr:uid="{00000000-0006-0000-0000-000007000000}">
      <text>
        <r>
          <rPr>
            <sz val="10"/>
            <color rgb="FF000000"/>
            <rFont val="Calibri"/>
            <scheme val="minor"/>
          </rPr>
          <t>======
ID#AAAAWHQiSMU
    (2022-03-01 22:25:29)
21.9 and 13.6</t>
        </r>
      </text>
    </comment>
    <comment ref="AP32" authorId="0" shapeId="0" xr:uid="{00000000-0006-0000-0000-000001000000}">
      <text>
        <r>
          <rPr>
            <sz val="10"/>
            <color rgb="FF000000"/>
            <rFont val="Calibri"/>
            <scheme val="minor"/>
          </rPr>
          <t>======
ID#AAAAVojBp-s
Indra Boving    (2022-03-08 17:34:33)
hard to read</t>
        </r>
      </text>
    </comment>
    <comment ref="AR35" authorId="0" shapeId="0" xr:uid="{00000000-0006-0000-0000-000004000000}">
      <text>
        <r>
          <rPr>
            <sz val="10"/>
            <color rgb="FF000000"/>
            <rFont val="Calibri"/>
            <scheme val="minor"/>
          </rPr>
          <t>======
ID#AAAAVojBp-g
Indra Boving    (2022-03-08 17:26:28)
these were taken on the branches - the others used leaves, and are more reliable</t>
        </r>
      </text>
    </comment>
    <comment ref="AS35" authorId="0" shapeId="0" xr:uid="{00000000-0006-0000-0000-000005000000}">
      <text>
        <r>
          <rPr>
            <sz val="10"/>
            <color rgb="FF000000"/>
            <rFont val="Calibri"/>
            <scheme val="minor"/>
          </rPr>
          <t>======
ID#AAAAVojBp-c
Indra Boving    (2022-03-08 17:26:05)
these were taken on the branches - the others used leaves, and are more reliable</t>
        </r>
      </text>
    </comment>
    <comment ref="AP49" authorId="0" shapeId="0" xr:uid="{00000000-0006-0000-0000-000003000000}">
      <text>
        <r>
          <rPr>
            <sz val="10"/>
            <color rgb="FF000000"/>
            <rFont val="Calibri"/>
            <scheme val="minor"/>
          </rPr>
          <t>======
ID#AAAAVojBp-k
Indra Boving    (2022-03-08 17:29:32)
end of branchlet wasn't straight</t>
        </r>
      </text>
    </comment>
    <comment ref="G50" authorId="0" shapeId="0" xr:uid="{00000000-0006-0000-0000-00000E000000}">
      <text>
        <r>
          <rPr>
            <sz val="10"/>
            <color rgb="FF000000"/>
            <rFont val="Calibri"/>
            <scheme val="minor"/>
          </rPr>
          <t>======
ID#AAAAWHQiSME
    (2022-03-01 22:25:29)
and 19</t>
        </r>
      </text>
    </comment>
    <comment ref="G52" authorId="0" shapeId="0" xr:uid="{00000000-0006-0000-0000-00000A000000}">
      <text>
        <r>
          <rPr>
            <sz val="10"/>
            <color rgb="FF000000"/>
            <rFont val="Calibri"/>
            <scheme val="minor"/>
          </rPr>
          <t>======
ID#AAAAWHQiSL8
    (2022-03-01 22:25:29)
and 28.6</t>
        </r>
      </text>
    </comment>
    <comment ref="G66" authorId="0" shapeId="0" xr:uid="{00000000-0006-0000-0000-00000D000000}">
      <text>
        <r>
          <rPr>
            <sz val="10"/>
            <color rgb="FF000000"/>
            <rFont val="Calibri"/>
            <scheme val="minor"/>
          </rPr>
          <t>======
ID#AAAAWHQiSMI
    (2022-03-01 22:25:29)
and 30.3</t>
        </r>
      </text>
    </comment>
    <comment ref="G69" authorId="0" shapeId="0" xr:uid="{00000000-0006-0000-0000-00000C000000}">
      <text>
        <r>
          <rPr>
            <sz val="10"/>
            <color rgb="FF000000"/>
            <rFont val="Calibri"/>
            <scheme val="minor"/>
          </rPr>
          <t>======
ID#AAAAWHQiSMA
    (2022-03-01 22:25:29)
and 25.7</t>
        </r>
      </text>
    </comment>
    <comment ref="E73" authorId="0" shapeId="0" xr:uid="{00000000-0006-0000-0000-000009000000}">
      <text>
        <r>
          <rPr>
            <sz val="10"/>
            <color rgb="FF000000"/>
            <rFont val="Calibri"/>
            <scheme val="minor"/>
          </rPr>
          <t>======
ID#AAAAWHQiSMM
    (2022-03-01 22:25:29)
on isotope sample, known as 85.2</t>
        </r>
      </text>
    </comment>
    <comment ref="G82" authorId="0" shapeId="0" xr:uid="{00000000-0006-0000-0000-000008000000}">
      <text>
        <r>
          <rPr>
            <sz val="10"/>
            <color rgb="FF000000"/>
            <rFont val="Calibri"/>
            <scheme val="minor"/>
          </rPr>
          <t>======
ID#AAAAWHQiSMQ
    (2022-03-01 22:25:29)
and 32.6 for other limb. base diameter = ~75</t>
        </r>
      </text>
    </comment>
    <comment ref="G86" authorId="0" shapeId="0" xr:uid="{00000000-0006-0000-0000-00000F000000}">
      <text>
        <r>
          <rPr>
            <sz val="10"/>
            <color rgb="FF000000"/>
            <rFont val="Calibri"/>
            <scheme val="minor"/>
          </rPr>
          <t>======
ID#AAAAWHQiSL0
    (2022-03-01 22:25:29)
and 29.3</t>
        </r>
      </text>
    </comment>
    <comment ref="E87" authorId="0" shapeId="0" xr:uid="{00000000-0006-0000-0000-00000B000000}">
      <text>
        <r>
          <rPr>
            <sz val="10"/>
            <color rgb="FF000000"/>
            <rFont val="Calibri"/>
            <scheme val="minor"/>
          </rPr>
          <t>======
ID#AAAAWHQiSL4
    (2022-03-01 22:25:29)
written as 70.9 for core ID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eX7LgO6TyOCcBh6yUG6c2GBwsA=="/>
    </ext>
  </extL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122" authorId="0" shapeId="0" xr:uid="{00000000-0006-0000-0E00-000001000000}">
      <text>
        <r>
          <rPr>
            <sz val="10"/>
            <color rgb="FF000000"/>
            <rFont val="Calibri"/>
            <scheme val="minor"/>
          </rPr>
          <t>======
ID#AAAAcC1zX0o
Leander Love-Anderegg    (2022-07-29 18:01:31)
Where did all this MD water potential data go? It was clearly collected by has not been entered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eLsNhhAE7vsUp+T0lBTmR1ZJDgw=="/>
    </ext>
  </extL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8" authorId="0" shapeId="0" xr:uid="{00000000-0006-0000-0F00-000004000000}">
      <text>
        <r>
          <rPr>
            <sz val="10"/>
            <color rgb="FF000000"/>
            <rFont val="Calibri"/>
            <scheme val="minor"/>
          </rPr>
          <t>======
ID#AAAAa7Bcvc4
Elijah Joseph    (2022-06-11 22:56:23)
dead part</t>
        </r>
      </text>
    </comment>
    <comment ref="F76" authorId="0" shapeId="0" xr:uid="{00000000-0006-0000-0F00-000003000000}">
      <text>
        <r>
          <rPr>
            <sz val="10"/>
            <color rgb="FF000000"/>
            <rFont val="Calibri"/>
            <scheme val="minor"/>
          </rPr>
          <t>======
ID#AAAAa7Bcvc8
Elijah Joseph    (2022-06-11 23:03:28)
small leaves</t>
        </r>
      </text>
    </comment>
    <comment ref="G76" authorId="0" shapeId="0" xr:uid="{00000000-0006-0000-0F00-000002000000}">
      <text>
        <r>
          <rPr>
            <sz val="10"/>
            <color rgb="FF000000"/>
            <rFont val="Calibri"/>
            <scheme val="minor"/>
          </rPr>
          <t>======
ID#AAAAa7BcvdA
Elijah Joseph    (2022-06-11 23:03:53)
small leaves</t>
        </r>
      </text>
    </comment>
    <comment ref="AT111" authorId="0" shapeId="0" xr:uid="{00000000-0006-0000-0F00-00000A000000}">
      <text>
        <r>
          <rPr>
            <sz val="10"/>
            <color rgb="FF000000"/>
            <rFont val="Calibri"/>
            <scheme val="minor"/>
          </rPr>
          <t>======
ID#AAAAZlr_wnA
Isobel Mifsud    (2022-05-18 17:23:32)
labelled as L1</t>
        </r>
      </text>
    </comment>
    <comment ref="AW111" authorId="0" shapeId="0" xr:uid="{00000000-0006-0000-0F00-000009000000}">
      <text>
        <r>
          <rPr>
            <sz val="10"/>
            <color rgb="FF000000"/>
            <rFont val="Calibri"/>
            <scheme val="minor"/>
          </rPr>
          <t>======
ID#AAAAZlr_wnE
Isobel Mifsud    (2022-05-18 17:24:05)
labelled as L2</t>
        </r>
      </text>
    </comment>
    <comment ref="AZ111" authorId="0" shapeId="0" xr:uid="{00000000-0006-0000-0F00-000008000000}">
      <text>
        <r>
          <rPr>
            <sz val="10"/>
            <color rgb="FF000000"/>
            <rFont val="Calibri"/>
            <scheme val="minor"/>
          </rPr>
          <t>======
ID#AAAAZlr_wnI
Isobel Mifsud    (2022-05-18 17:24:46)
labelled as L3</t>
        </r>
      </text>
    </comment>
    <comment ref="AJ112" authorId="0" shapeId="0" xr:uid="{00000000-0006-0000-0F00-000006000000}">
      <text>
        <r>
          <rPr>
            <sz val="10"/>
            <color rgb="FF000000"/>
            <rFont val="Calibri"/>
            <scheme val="minor"/>
          </rPr>
          <t>======
ID#AAAAa7Bcvcw
Elijah Joseph    (2022-06-11 22:32:33)
“? broke”</t>
        </r>
      </text>
    </comment>
    <comment ref="AP112" authorId="0" shapeId="0" xr:uid="{00000000-0006-0000-0F00-000005000000}">
      <text>
        <r>
          <rPr>
            <sz val="10"/>
            <color rgb="FF000000"/>
            <rFont val="Calibri"/>
            <scheme val="minor"/>
          </rPr>
          <t>======
ID#AAAAa7Bcvc0
Elijah Joseph    (2022-06-11 22:32:45)
injured leaf</t>
        </r>
      </text>
    </comment>
    <comment ref="AW112" authorId="0" shapeId="0" xr:uid="{00000000-0006-0000-0F00-000007000000}">
      <text>
        <r>
          <rPr>
            <sz val="10"/>
            <color rgb="FF000000"/>
            <rFont val="Calibri"/>
            <scheme val="minor"/>
          </rPr>
          <t>======
ID#AAAAZlr_wnM
Isobel Mifsud    (2022-05-18 17:25:09)
labelled as L3</t>
        </r>
      </text>
    </comment>
    <comment ref="AK120" authorId="0" shapeId="0" xr:uid="{00000000-0006-0000-0F00-00000B000000}">
      <text>
        <r>
          <rPr>
            <sz val="10"/>
            <color rgb="FF000000"/>
            <rFont val="Calibri"/>
            <scheme val="minor"/>
          </rPr>
          <t>======
ID#AAAAZlr_wm8
Isobel Mifsud    (2022-05-18 17:22:36)
not clear which ARCA these measurements are from</t>
        </r>
      </text>
    </comment>
    <comment ref="E132" authorId="0" shapeId="0" xr:uid="{00000000-0006-0000-0F00-000001000000}">
      <text>
        <r>
          <rPr>
            <sz val="10"/>
            <color rgb="FF000000"/>
            <rFont val="Calibri"/>
            <scheme val="minor"/>
          </rPr>
          <t>======
ID#AAAAcC1zX0k
Leander Love-Anderegg    (2022-07-29 17:56:25)
What are these phenology data???</t>
        </r>
      </text>
    </comment>
    <comment ref="AK162" authorId="0" shapeId="0" xr:uid="{00000000-0006-0000-0F00-00000C000000}">
      <text>
        <r>
          <rPr>
            <sz val="10"/>
            <color rgb="FF000000"/>
            <rFont val="Calibri"/>
            <scheme val="minor"/>
          </rPr>
          <t>======
ID#AAAAZln2l8c
Isobel Mifsud    (2022-05-18 16:52:14)
might be swapped with MD2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utDCTkrXvEhZRoHhqs5rqBWQH3Q=="/>
    </ext>
  </extL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2" authorId="0" shapeId="0" xr:uid="{00000000-0006-0000-1000-000002000000}">
      <text>
        <r>
          <rPr>
            <sz val="10"/>
            <color rgb="FF000000"/>
            <rFont val="Calibri"/>
            <scheme val="minor"/>
          </rPr>
          <t>======
ID#AAAAZlx_HYI
Isobel Mifsud    (2022-05-18 21:35:49)
weight includes stem</t>
        </r>
      </text>
    </comment>
    <comment ref="Q32" authorId="0" shapeId="0" xr:uid="{00000000-0006-0000-1000-000001000000}">
      <text>
        <r>
          <rPr>
            <sz val="10"/>
            <color rgb="FF000000"/>
            <rFont val="Calibri"/>
            <scheme val="minor"/>
          </rPr>
          <t>======
ID#AAAAZlx_HYM
Isobel Mifsud    (2022-05-18 21:36:04)
weight includes stem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I3p8RUFeFUaFqbrNQBXsynnjCw=="/>
    </ext>
  </extL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E7" authorId="0" shapeId="0" xr:uid="{00000000-0006-0000-1100-000003000000}">
      <text>
        <r>
          <rPr>
            <sz val="10"/>
            <color rgb="FF000000"/>
            <rFont val="Calibri"/>
            <scheme val="minor"/>
          </rPr>
          <t>======
ID#AAAAa7BcvfY
Elijah Joseph    (2022-06-12 01:49:05)
Y1 = 1.4264</t>
        </r>
      </text>
    </comment>
    <comment ref="BE9" authorId="0" shapeId="0" xr:uid="{00000000-0006-0000-1100-000004000000}">
      <text>
        <r>
          <rPr>
            <sz val="10"/>
            <color rgb="FF000000"/>
            <rFont val="Calibri"/>
            <scheme val="minor"/>
          </rPr>
          <t>======
ID#AAAAa7BcvfU
Elijah Joseph    (2022-06-12 01:46:59)
Y1 = .5414</t>
        </r>
      </text>
    </comment>
    <comment ref="AJ32" authorId="0" shapeId="0" xr:uid="{00000000-0006-0000-1100-000013000000}">
      <text>
        <r>
          <rPr>
            <sz val="10"/>
            <color rgb="FF000000"/>
            <rFont val="Calibri"/>
            <scheme val="minor"/>
          </rPr>
          <t>======
ID#AAAAa7BcveY
Elijah Joseph    (2022-06-12 01:29:05)
Y0</t>
        </r>
      </text>
    </comment>
    <comment ref="AK32" authorId="0" shapeId="0" xr:uid="{00000000-0006-0000-1100-000012000000}">
      <text>
        <r>
          <rPr>
            <sz val="10"/>
            <color rgb="FF000000"/>
            <rFont val="Calibri"/>
            <scheme val="minor"/>
          </rPr>
          <t>======
ID#AAAAa7Bcvec
Elijah Joseph    (2022-06-12 01:29:11)
Y0</t>
        </r>
      </text>
    </comment>
    <comment ref="AM32" authorId="0" shapeId="0" xr:uid="{00000000-0006-0000-1100-000011000000}">
      <text>
        <r>
          <rPr>
            <sz val="10"/>
            <color rgb="FF000000"/>
            <rFont val="Calibri"/>
            <scheme val="minor"/>
          </rPr>
          <t>======
ID#AAAAa7Bcveg
Elijah Joseph    (2022-06-12 01:29:24)
Y0</t>
        </r>
      </text>
    </comment>
    <comment ref="AN32" authorId="0" shapeId="0" xr:uid="{00000000-0006-0000-1100-000010000000}">
      <text>
        <r>
          <rPr>
            <sz val="10"/>
            <color rgb="FF000000"/>
            <rFont val="Calibri"/>
            <scheme val="minor"/>
          </rPr>
          <t>======
ID#AAAAa7Bcvek
Elijah Joseph    (2022-06-12 01:29:45)
Y0</t>
        </r>
      </text>
    </comment>
    <comment ref="AP32" authorId="0" shapeId="0" xr:uid="{00000000-0006-0000-1100-00000F000000}">
      <text>
        <r>
          <rPr>
            <sz val="10"/>
            <color rgb="FF000000"/>
            <rFont val="Calibri"/>
            <scheme val="minor"/>
          </rPr>
          <t>======
ID#AAAAa7Bcveo
Elijah Joseph    (2022-06-12 01:30:08)
Y0</t>
        </r>
      </text>
    </comment>
    <comment ref="AQ32" authorId="0" shapeId="0" xr:uid="{00000000-0006-0000-1100-00000E000000}">
      <text>
        <r>
          <rPr>
            <sz val="10"/>
            <color rgb="FF000000"/>
            <rFont val="Calibri"/>
            <scheme val="minor"/>
          </rPr>
          <t>======
ID#AAAAa7Bcves
Elijah Joseph    (2022-06-12 01:30:15)
Y0</t>
        </r>
      </text>
    </comment>
    <comment ref="AS32" authorId="0" shapeId="0" xr:uid="{00000000-0006-0000-1100-00000D000000}">
      <text>
        <r>
          <rPr>
            <sz val="10"/>
            <color rgb="FF000000"/>
            <rFont val="Calibri"/>
            <scheme val="minor"/>
          </rPr>
          <t>======
ID#AAAAa7Bcvew
Elijah Joseph    (2022-06-12 01:30:33)
Y0</t>
        </r>
      </text>
    </comment>
    <comment ref="AT32" authorId="0" shapeId="0" xr:uid="{00000000-0006-0000-1100-00000C000000}">
      <text>
        <r>
          <rPr>
            <sz val="10"/>
            <color rgb="FF000000"/>
            <rFont val="Calibri"/>
            <scheme val="minor"/>
          </rPr>
          <t>======
ID#AAAAa7Bcve0
Elijah Joseph    (2022-06-12 01:30:47)
Y0</t>
        </r>
      </text>
    </comment>
    <comment ref="AV32" authorId="0" shapeId="0" xr:uid="{00000000-0006-0000-1100-00000B000000}">
      <text>
        <r>
          <rPr>
            <sz val="10"/>
            <color rgb="FF000000"/>
            <rFont val="Calibri"/>
            <scheme val="minor"/>
          </rPr>
          <t>======
ID#AAAAa7Bcve4
Elijah Joseph    (2022-06-12 01:31:00)
Y0</t>
        </r>
      </text>
    </comment>
    <comment ref="AW32" authorId="0" shapeId="0" xr:uid="{00000000-0006-0000-1100-00000A000000}">
      <text>
        <r>
          <rPr>
            <sz val="10"/>
            <color rgb="FF000000"/>
            <rFont val="Calibri"/>
            <scheme val="minor"/>
          </rPr>
          <t>======
ID#AAAAa7Bcve8
Elijah Joseph    (2022-06-12 01:31:06)
Y0</t>
        </r>
      </text>
    </comment>
    <comment ref="AY32" authorId="0" shapeId="0" xr:uid="{00000000-0006-0000-1100-000009000000}">
      <text>
        <r>
          <rPr>
            <sz val="10"/>
            <color rgb="FF000000"/>
            <rFont val="Calibri"/>
            <scheme val="minor"/>
          </rPr>
          <t>======
ID#AAAAa7BcvfA
Elijah Joseph    (2022-06-12 01:31:26)
Y1</t>
        </r>
      </text>
    </comment>
    <comment ref="AZ32" authorId="0" shapeId="0" xr:uid="{00000000-0006-0000-1100-000008000000}">
      <text>
        <r>
          <rPr>
            <sz val="10"/>
            <color rgb="FF000000"/>
            <rFont val="Calibri"/>
            <scheme val="minor"/>
          </rPr>
          <t>======
ID#AAAAa7BcvfE
Elijah Joseph    (2022-06-12 01:32:09)
Y1</t>
        </r>
      </text>
    </comment>
    <comment ref="BB32" authorId="0" shapeId="0" xr:uid="{00000000-0006-0000-1100-000007000000}">
      <text>
        <r>
          <rPr>
            <sz val="10"/>
            <color rgb="FF000000"/>
            <rFont val="Calibri"/>
            <scheme val="minor"/>
          </rPr>
          <t>======
ID#AAAAa7BcvfI
Elijah Joseph    (2022-06-12 01:32:35)
Y1</t>
        </r>
      </text>
    </comment>
    <comment ref="BC32" authorId="0" shapeId="0" xr:uid="{00000000-0006-0000-1100-000006000000}">
      <text>
        <r>
          <rPr>
            <sz val="10"/>
            <color rgb="FF000000"/>
            <rFont val="Calibri"/>
            <scheme val="minor"/>
          </rPr>
          <t>======
ID#AAAAa7BcvfM
Elijah Joseph    (2022-06-12 01:32:39)
Y1</t>
        </r>
      </text>
    </comment>
    <comment ref="BE32" authorId="0" shapeId="0" xr:uid="{00000000-0006-0000-1100-000005000000}">
      <text>
        <r>
          <rPr>
            <sz val="10"/>
            <color rgb="FF000000"/>
            <rFont val="Calibri"/>
            <scheme val="minor"/>
          </rPr>
          <t>======
ID#AAAAa7BcvfQ
Elijah Joseph    (2022-06-12 01:33:41)
1.3205 = bulk for Y0; 1.6941 = bulk for Y1</t>
        </r>
      </text>
    </comment>
    <comment ref="BE35" authorId="0" shapeId="0" xr:uid="{00000000-0006-0000-1100-000002000000}">
      <text>
        <r>
          <rPr>
            <sz val="10"/>
            <color rgb="FF000000"/>
            <rFont val="Calibri"/>
            <scheme val="minor"/>
          </rPr>
          <t>======
ID#AAAAa7Bcvfc
Elijah Joseph    (2022-06-12 01:54:17)
Y0 = 1.6885</t>
        </r>
      </text>
    </comment>
    <comment ref="AZ106" authorId="0" shapeId="0" xr:uid="{00000000-0006-0000-1100-000001000000}">
      <text>
        <r>
          <rPr>
            <sz val="10"/>
            <color rgb="FF000000"/>
            <rFont val="Calibri"/>
            <scheme val="minor"/>
          </rPr>
          <t>======
ID#AAAAa7Bcvfg
Elijah Joseph    (2022-06-12 02:02:20)
(broken)</t>
        </r>
      </text>
    </comment>
    <comment ref="AK107" authorId="0" shapeId="0" xr:uid="{00000000-0006-0000-1100-000017000000}">
      <text>
        <r>
          <rPr>
            <sz val="10"/>
            <color rgb="FF000000"/>
            <rFont val="Calibri"/>
            <scheme val="minor"/>
          </rPr>
          <t>======
ID#AAAAa7BcvdE
Elijah Joseph    (2022-06-12 01:25:12)
Listed in notebook as .1997</t>
        </r>
      </text>
    </comment>
    <comment ref="AN107" authorId="0" shapeId="0" xr:uid="{00000000-0006-0000-1100-000016000000}">
      <text>
        <r>
          <rPr>
            <sz val="10"/>
            <color rgb="FF000000"/>
            <rFont val="Calibri"/>
            <scheme val="minor"/>
          </rPr>
          <t>======
ID#AAAAa7BcvdI
Elijah Joseph    (2022-06-12 01:25:34)
Listed in notebook .2165</t>
        </r>
      </text>
    </comment>
    <comment ref="AQ107" authorId="0" shapeId="0" xr:uid="{00000000-0006-0000-1100-000015000000}">
      <text>
        <r>
          <rPr>
            <sz val="10"/>
            <color rgb="FF000000"/>
            <rFont val="Calibri"/>
            <scheme val="minor"/>
          </rPr>
          <t>======
ID#AAAAa7BcvdM
Elijah Joseph    (2022-06-12 01:25:55)
Listed in notebook as .1234</t>
        </r>
      </text>
    </comment>
    <comment ref="BE107" authorId="0" shapeId="0" xr:uid="{00000000-0006-0000-1100-000014000000}">
      <text>
        <r>
          <rPr>
            <sz val="10"/>
            <color rgb="FF000000"/>
            <rFont val="Calibri"/>
            <scheme val="minor"/>
          </rPr>
          <t>======
ID#AAAAa7BcvdQ
Elijah Joseph    (2022-06-12 01:26:26)
Listed in notebook as 1.6777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/z1Rq0o/Pr5j6RAwMeE6UiShhg=="/>
    </ext>
  </extL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27" authorId="0" shapeId="0" xr:uid="{00000000-0006-0000-1500-000002000000}">
      <text>
        <r>
          <rPr>
            <sz val="10"/>
            <color rgb="FF000000"/>
            <rFont val="Calibri"/>
            <scheme val="minor"/>
          </rPr>
          <t>======
ID#AAAAcC1zX00
Leander Love-Anderegg    (2022-07-29 18:54:13)
2nd value of 1.3073 that not sure where it came from</t>
        </r>
      </text>
    </comment>
    <comment ref="BF148" authorId="0" shapeId="0" xr:uid="{00000000-0006-0000-1500-000001000000}">
      <text>
        <r>
          <rPr>
            <sz val="10"/>
            <color rgb="FF000000"/>
            <rFont val="Calibri"/>
            <scheme val="minor"/>
          </rPr>
          <t>======
ID#AAAAcC1zX04
Leander Love-Anderegg    (2022-07-29 18:57:16)
mislabedl 1475</t>
        </r>
      </text>
    </comment>
    <comment ref="C154" authorId="0" shapeId="0" xr:uid="{00000000-0006-0000-1500-000003000000}">
      <text>
        <r>
          <rPr>
            <sz val="10"/>
            <color rgb="FF000000"/>
            <rFont val="Calibri"/>
            <scheme val="minor"/>
          </rPr>
          <t>======
ID#AAAAapTip24
Laura Dagg    (2022-06-10 18:17:30)
this tag didn't exist on spreadsheet, no plot number listed on sample
------
ID#AAAAdUyAvmQ
Leander Love-Anderegg    (2022-07-28 21:15:26)
probably 2376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h3GpwA6M4bQJdAE69QBg/rUTyw=="/>
    </ext>
  </extL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H6" authorId="0" shapeId="0" xr:uid="{00000000-0006-0000-1600-000001000000}">
      <text>
        <r>
          <rPr>
            <sz val="10"/>
            <color rgb="FF000000"/>
            <rFont val="Calibri"/>
            <scheme val="minor"/>
          </rPr>
          <t>======
ID#AAAAammUnsc
Laura Dagg    (2022-06-08 22:37:28)
if there aren't both year 1 and year two data, the sample was not dated to year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IuFXtTHCS2DqY2pDf4v86zYlBlQ=="/>
    </ext>
  </extL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13" authorId="0" shapeId="0" xr:uid="{00000000-0006-0000-1700-000001000000}">
      <text>
        <r>
          <rPr>
            <sz val="10"/>
            <color rgb="FF000000"/>
            <rFont val="Calibri"/>
            <scheme val="minor"/>
          </rPr>
          <t>======
ID#AAAAammUnsA
Isobel Mifsud    (2022-06-08 22:03:52)
white dots on all leaves</t>
        </r>
      </text>
    </comment>
    <comment ref="I115" authorId="0" shapeId="0" xr:uid="{00000000-0006-0000-1700-000002000000}">
      <text>
        <r>
          <rPr>
            <sz val="10"/>
            <color rgb="FF000000"/>
            <rFont val="Calibri"/>
            <scheme val="minor"/>
          </rPr>
          <t>======
ID#AAAAammUnr8
Isobel Mifsud    (2022-06-08 22:03:26)
white dots on all leaves</t>
        </r>
      </text>
    </comment>
    <comment ref="I119" authorId="0" shapeId="0" xr:uid="{00000000-0006-0000-1700-000004000000}">
      <text>
        <r>
          <rPr>
            <sz val="10"/>
            <color rgb="FF000000"/>
            <rFont val="Calibri"/>
            <scheme val="minor"/>
          </rPr>
          <t>======
ID#AAAAammUnrM
Isobel Mifsud    (2022-06-08 21:59:00)
no location indicated
------
ID#AAAAa3-DVpc
Leander Love-Anderegg    (2022-06-17 16:32:13)
Likely Cucu Mesa, given other wps from this day. moved from 'near 2380' to Cucu on 6/17</t>
        </r>
      </text>
    </comment>
    <comment ref="AJ120" authorId="0" shapeId="0" xr:uid="{00000000-0006-0000-1700-000005000000}">
      <text>
        <r>
          <rPr>
            <sz val="10"/>
            <color rgb="FF000000"/>
            <rFont val="Calibri"/>
            <scheme val="minor"/>
          </rPr>
          <t>======
ID#AAAAammUnrI
Isobel Mifsud    (2022-06-08 21:50:13)
no location indicated, assumed near 2380</t>
        </r>
      </text>
    </comment>
    <comment ref="AG123" authorId="0" shapeId="0" xr:uid="{00000000-0006-0000-1700-00000A000000}">
      <text>
        <r>
          <rPr>
            <sz val="10"/>
            <color rgb="FF000000"/>
            <rFont val="Calibri"/>
            <scheme val="minor"/>
          </rPr>
          <t>======
ID#AAAAamlR3-E
Isobel Mifsud    (2022-06-08 18:42:21)
Y0 wet = 1.53, dry = 0.8696</t>
        </r>
      </text>
    </comment>
    <comment ref="AG124" authorId="0" shapeId="0" xr:uid="{00000000-0006-0000-1700-00000E000000}">
      <text>
        <r>
          <rPr>
            <sz val="10"/>
            <color rgb="FF000000"/>
            <rFont val="Calibri"/>
            <scheme val="minor"/>
          </rPr>
          <t>======
ID#AAAAamlR390
Isobel Mifsud    (2022-06-08 18:36:36)
Y0 wet = 1.08, dry = 0.6273</t>
        </r>
      </text>
    </comment>
    <comment ref="AG125" authorId="0" shapeId="0" xr:uid="{00000000-0006-0000-1700-00000B000000}">
      <text>
        <r>
          <rPr>
            <sz val="10"/>
            <color rgb="FF000000"/>
            <rFont val="Calibri"/>
            <scheme val="minor"/>
          </rPr>
          <t>======
ID#AAAAamlR3-A
Isobel Mifsud    (2022-06-08 18:41:47)
Y1 wet = 1.71, dry = 1.021</t>
        </r>
      </text>
    </comment>
    <comment ref="AG127" authorId="0" shapeId="0" xr:uid="{00000000-0006-0000-1700-00000D000000}">
      <text>
        <r>
          <rPr>
            <sz val="10"/>
            <color rgb="FF000000"/>
            <rFont val="Calibri"/>
            <scheme val="minor"/>
          </rPr>
          <t>======
ID#AAAAamlR394
Isobel Mifsud    (2022-06-08 18:40:37)
Y1 wet = 1.27, dry = 0.75</t>
        </r>
      </text>
    </comment>
    <comment ref="I128" authorId="0" shapeId="0" xr:uid="{00000000-0006-0000-1700-000003000000}">
      <text>
        <r>
          <rPr>
            <sz val="10"/>
            <color rgb="FF000000"/>
            <rFont val="Calibri"/>
            <scheme val="minor"/>
          </rPr>
          <t>======
ID#AAAAammUnr0
Isobel Mifsud    (2022-06-08 22:03:03)
white dots on all leaves</t>
        </r>
      </text>
    </comment>
    <comment ref="AG134" authorId="0" shapeId="0" xr:uid="{00000000-0006-0000-1700-000008000000}">
      <text>
        <r>
          <rPr>
            <sz val="10"/>
            <color rgb="FF000000"/>
            <rFont val="Calibri"/>
            <scheme val="minor"/>
          </rPr>
          <t>======
ID#AAAAamlR3-M
Isobel Mifsud    (2022-06-08 18:43:17)
Y0 wet = 1.08, dry = 0.6134</t>
        </r>
      </text>
    </comment>
    <comment ref="AG135" authorId="0" shapeId="0" xr:uid="{00000000-0006-0000-1700-000009000000}">
      <text>
        <r>
          <rPr>
            <sz val="10"/>
            <color rgb="FF000000"/>
            <rFont val="Calibri"/>
            <scheme val="minor"/>
          </rPr>
          <t>======
ID#AAAAamlR3-I
Isobel Mifsud    (2022-06-08 18:42:41)
Y1 wet = 0.82, dry = 0.4975</t>
        </r>
      </text>
    </comment>
    <comment ref="AG141" authorId="0" shapeId="0" xr:uid="{00000000-0006-0000-1700-00000C000000}">
      <text>
        <r>
          <rPr>
            <sz val="10"/>
            <color rgb="FF000000"/>
            <rFont val="Calibri"/>
            <scheme val="minor"/>
          </rPr>
          <t>======
ID#AAAAamlR398
Isobel Mifsud    (2022-06-08 18:41:25)
Y1 wet = 1.58, dry = 1.0089</t>
        </r>
      </text>
    </comment>
    <comment ref="AG142" authorId="0" shapeId="0" xr:uid="{00000000-0006-0000-1700-000007000000}">
      <text>
        <r>
          <rPr>
            <sz val="10"/>
            <color rgb="FF000000"/>
            <rFont val="Calibri"/>
            <scheme val="minor"/>
          </rPr>
          <t>======
ID#AAAAamlR3-Q
Isobel Mifsud    (2022-06-08 18:43:56)
Y0 wet = 1.3, dry = 0.7479</t>
        </r>
      </text>
    </comment>
    <comment ref="AJ152" authorId="0" shapeId="0" xr:uid="{00000000-0006-0000-1700-000006000000}">
      <text>
        <r>
          <rPr>
            <sz val="10"/>
            <color rgb="FF000000"/>
            <rFont val="Calibri"/>
            <scheme val="minor"/>
          </rPr>
          <t>======
ID#AAAAammUnrE
Isobel Mifsud    (2022-06-08 21:48:11)
small white dots on all leaves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eoodHrBQF/EP9v0G4KaqMDx1p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72" authorId="0" shapeId="0" xr:uid="{00000000-0006-0000-0300-000001000000}">
      <text>
        <r>
          <rPr>
            <sz val="10"/>
            <color rgb="FF000000"/>
            <rFont val="Calibri"/>
            <scheme val="minor"/>
          </rPr>
          <t>======
ID#AAAAamlR3-g
Caleb Caton    (2022-06-08 19:28:16)
5/25 or 5/23 (unlabeled). Likely 5/25. Assumed MD, PD already done for these trees, but MD/PD was also unlabeled.
------
ID#AAAAamlR3-k
Caleb Caton    (2022-06-08 19:28:55)
rows 1272-1277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caOlAgiILuTKVs/O1RYPlkXA3K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400-000001000000}">
      <text>
        <r>
          <rPr>
            <sz val="10"/>
            <color rgb="FF000000"/>
            <rFont val="Calibri"/>
            <scheme val="minor"/>
          </rPr>
          <t>======
ID#AAAAdLUBJPo
Indra Boving    (2022-07-22 21:03:07)
These were my guesses based on the online schedule, but the paper schedule will be more accurate as to when we actually collected these</t>
        </r>
      </text>
    </comment>
    <comment ref="A495" authorId="0" shapeId="0" xr:uid="{00000000-0006-0000-0400-000007000000}">
      <text>
        <r>
          <rPr>
            <sz val="10"/>
            <color rgb="FF000000"/>
            <rFont val="Calibri"/>
            <scheme val="minor"/>
          </rPr>
          <t>======
ID#AAAAaNwZ2hY
Bergen Foshay    (2022-05-31 22:13:20)
Not in H2O</t>
        </r>
      </text>
    </comment>
    <comment ref="A890" authorId="0" shapeId="0" xr:uid="{00000000-0006-0000-0400-000005000000}">
      <text>
        <r>
          <rPr>
            <sz val="10"/>
            <color rgb="FF000000"/>
            <rFont val="Calibri"/>
            <scheme val="minor"/>
          </rPr>
          <t>======
ID#AAAAaNwZ2hs
Bergen Foshay    (2022-05-31 22:39:23)
Rehydrated 20 hrs.</t>
        </r>
      </text>
    </comment>
    <comment ref="A1122" authorId="0" shapeId="0" xr:uid="{00000000-0006-0000-0400-000006000000}">
      <text>
        <r>
          <rPr>
            <sz val="10"/>
            <color rgb="FF000000"/>
            <rFont val="Calibri"/>
            <scheme val="minor"/>
          </rPr>
          <t>======
ID#AAAAaNwZ2hk
Bergen Foshay    (2022-05-31 22:32:35)
20 hr. rehydration</t>
        </r>
      </text>
    </comment>
    <comment ref="A1172" authorId="0" shapeId="0" xr:uid="{00000000-0006-0000-0400-000003000000}">
      <text>
        <r>
          <rPr>
            <sz val="10"/>
            <color rgb="FF000000"/>
            <rFont val="Calibri"/>
            <scheme val="minor"/>
          </rPr>
          <t>======
ID#AAAAammUnsk
Caleb Caton    (2022-06-08 23:07:42)
repeat of row 974. mis-labeled?</t>
        </r>
      </text>
    </comment>
    <comment ref="A1230" authorId="0" shapeId="0" xr:uid="{00000000-0006-0000-0400-000002000000}">
      <text>
        <r>
          <rPr>
            <sz val="10"/>
            <color rgb="FF000000"/>
            <rFont val="Calibri"/>
            <scheme val="minor"/>
          </rPr>
          <t>======
ID#AAAAammUnso
Caleb Caton    (2022-06-08 23:08:17)
repeat of row 971. mis-labeled?</t>
        </r>
      </text>
    </comment>
    <comment ref="A1477" authorId="0" shapeId="0" xr:uid="{00000000-0006-0000-0400-000004000000}">
      <text>
        <r>
          <rPr>
            <sz val="10"/>
            <color rgb="FF000000"/>
            <rFont val="Calibri"/>
            <scheme val="minor"/>
          </rPr>
          <t>======
ID#AAAAaNwZ2hw
Bergen Foshay    (2022-05-31 22:42:14)
Rehydrated 20 hrs.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7efJuwXOCcTkt4CACDW39CYNE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7" authorId="0" shapeId="0" xr:uid="{00000000-0006-0000-0500-000001000000}">
      <text>
        <r>
          <rPr>
            <sz val="10"/>
            <color rgb="FF000000"/>
            <rFont val="Calibri"/>
            <scheme val="minor"/>
          </rPr>
          <t>======
ID#AAAAZZWAId4
Isobel Mifsud    (2022-05-18 20:13:06)
possibly 2365.5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URUhySteg7aJN46ccxnpVnY2p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107" authorId="0" shapeId="0" xr:uid="{00000000-0006-0000-0800-000001000000}">
      <text>
        <r>
          <rPr>
            <sz val="10"/>
            <color rgb="FF000000"/>
            <rFont val="Calibri"/>
            <scheme val="minor"/>
          </rPr>
          <t>======
ID#AAAAXENPBpc
Isobel Mifsud    (2022-03-22 17:18:21)
Where are WPs and wet weights for 2381/2382?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dC0xDuSjyPfcN6fT78e/ki5O5A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C110" authorId="0" shapeId="0" xr:uid="{00000000-0006-0000-0900-000001000000}">
      <text>
        <r>
          <rPr>
            <sz val="10"/>
            <color rgb="FF000000"/>
            <rFont val="Calibri"/>
            <scheme val="minor"/>
          </rPr>
          <t>======
ID#AAAAY2UGoCw
Elijah Joseph    (2022-05-10 21:49:42)
Measured at .1624 after cutting under water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INVrlu8orlT2JsdQ/Q78ngOy/w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" authorId="0" shapeId="0" xr:uid="{00000000-0006-0000-0A00-000004000000}">
      <text>
        <r>
          <rPr>
            <sz val="10"/>
            <color rgb="FF000000"/>
            <rFont val="Calibri"/>
            <scheme val="minor"/>
          </rPr>
          <t>======
ID#AAAAXENPBqA
Isobel Mifsud    (2022-03-22 17:42:24)
Check orange notebook for wet weights</t>
        </r>
      </text>
    </comment>
    <comment ref="H32" authorId="0" shapeId="0" xr:uid="{00000000-0006-0000-0A00-000002000000}">
      <text>
        <r>
          <rPr>
            <sz val="10"/>
            <color rgb="FF000000"/>
            <rFont val="Calibri"/>
            <scheme val="minor"/>
          </rPr>
          <t>======
ID#AAAAWZwZh0c
Isobel Mifsud    (2022-03-28 21:57:01)
We have dry weights for 2377 from both 3/8 and 3/11, also more dry weights than water potentials</t>
        </r>
      </text>
    </comment>
    <comment ref="I110" authorId="0" shapeId="0" xr:uid="{00000000-0006-0000-0A00-000003000000}">
      <text>
        <r>
          <rPr>
            <sz val="10"/>
            <color rgb="FF000000"/>
            <rFont val="Calibri"/>
            <scheme val="minor"/>
          </rPr>
          <t>======
ID#AAAAXENPBqY
Isobel Mifsud    (2022-03-22 18:36:23)
Missing wet weights for 2382/2384</t>
        </r>
      </text>
    </comment>
    <comment ref="D118" authorId="0" shapeId="0" xr:uid="{00000000-0006-0000-0A00-000001000000}">
      <text>
        <r>
          <rPr>
            <sz val="10"/>
            <color rgb="FF000000"/>
            <rFont val="Calibri"/>
            <scheme val="minor"/>
          </rPr>
          <t>======
ID#AAAAcC1zX0w
Leander Love-Anderegg    (2022-07-29 18:39:36)
no plot listed originally, but from 3/8 when LL was sampled. Also LEU listed as Lyca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kElCJSGDhHPclyQy9Oo228E8Fng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7" authorId="0" shapeId="0" xr:uid="{00000000-0006-0000-0B00-000008000000}">
      <text>
        <r>
          <rPr>
            <sz val="10"/>
            <color rgb="FF000000"/>
            <rFont val="Calibri"/>
            <scheme val="minor"/>
          </rPr>
          <t>======
ID#AAAAaLmGfKA
Elijah Joseph    (2022-05-31 06:30:46)
some current new leaves</t>
        </r>
      </text>
    </comment>
    <comment ref="G32" authorId="0" shapeId="0" xr:uid="{00000000-0006-0000-0B00-000007000000}">
      <text>
        <r>
          <rPr>
            <sz val="10"/>
            <color rgb="FF000000"/>
            <rFont val="Calibri"/>
            <scheme val="minor"/>
          </rPr>
          <t>======
ID#AAAAaLmGfKE
Elijah Joseph    (2022-05-31 06:30:47)
live, little bit of new growth</t>
        </r>
      </text>
    </comment>
    <comment ref="G46" authorId="0" shapeId="0" xr:uid="{00000000-0006-0000-0B00-000009000000}">
      <text>
        <r>
          <rPr>
            <sz val="10"/>
            <color rgb="FF000000"/>
            <rFont val="Calibri"/>
            <scheme val="minor"/>
          </rPr>
          <t>======
ID#AAAAaLmGfJ8
Elijah Joseph    (2022-05-31 06:30:45)
no current year leaves</t>
        </r>
      </text>
    </comment>
    <comment ref="G75" authorId="0" shapeId="0" xr:uid="{00000000-0006-0000-0B00-000006000000}">
      <text>
        <r>
          <rPr>
            <sz val="10"/>
            <color rgb="FF000000"/>
            <rFont val="Calibri"/>
            <scheme val="minor"/>
          </rPr>
          <t>======
ID#AAAAaLmGfKI
Elijah Joseph    (2022-05-31 06:30:47)
mostly old, small current year</t>
        </r>
      </text>
    </comment>
    <comment ref="G91" authorId="0" shapeId="0" xr:uid="{00000000-0006-0000-0B00-00000A000000}">
      <text>
        <r>
          <rPr>
            <sz val="10"/>
            <color rgb="FF000000"/>
            <rFont val="Calibri"/>
            <scheme val="minor"/>
          </rPr>
          <t>======
ID#AAAAaLmGfJ4
Elijah Joseph    (2022-05-31 06:30:44)
no current leaves; not sampled</t>
        </r>
      </text>
    </comment>
    <comment ref="G120" authorId="0" shapeId="0" xr:uid="{00000000-0006-0000-0B00-000003000000}">
      <text>
        <r>
          <rPr>
            <sz val="10"/>
            <color rgb="FF000000"/>
            <rFont val="Calibri"/>
            <scheme val="minor"/>
          </rPr>
          <t>======
ID#AAAAaLmGfKU
Elijah Joseph    (2022-05-31 06:30:50)
small current year?</t>
        </r>
      </text>
    </comment>
    <comment ref="G122" authorId="0" shapeId="0" xr:uid="{00000000-0006-0000-0B00-000004000000}">
      <text>
        <r>
          <rPr>
            <sz val="10"/>
            <color rgb="FF000000"/>
            <rFont val="Calibri"/>
            <scheme val="minor"/>
          </rPr>
          <t>======
ID#AAAAaLmGfKQ
Elijah Joseph    (2022-05-31 06:30:49)
live, no current year leaves yet</t>
        </r>
      </text>
    </comment>
    <comment ref="G124" authorId="0" shapeId="0" xr:uid="{00000000-0006-0000-0B00-000005000000}">
      <text>
        <r>
          <rPr>
            <sz val="10"/>
            <color rgb="FF000000"/>
            <rFont val="Calibri"/>
            <scheme val="minor"/>
          </rPr>
          <t>======
ID#AAAAaLmGfKM
Elijah Joseph    (2022-05-31 06:30:48)
live, some current year but mostly old</t>
        </r>
      </text>
    </comment>
    <comment ref="G131" authorId="0" shapeId="0" xr:uid="{00000000-0006-0000-0B00-000002000000}">
      <text>
        <r>
          <rPr>
            <sz val="10"/>
            <color rgb="FF000000"/>
            <rFont val="Calibri"/>
            <scheme val="minor"/>
          </rPr>
          <t>======
ID#AAAAaLmGfKY
Elijah Joseph    (2022-05-31 06:30:50)
live, large new leaves</t>
        </r>
      </text>
    </comment>
    <comment ref="G132" authorId="0" shapeId="0" xr:uid="{00000000-0006-0000-0B00-000001000000}">
      <text>
        <r>
          <rPr>
            <sz val="10"/>
            <color rgb="FF000000"/>
            <rFont val="Calibri"/>
            <scheme val="minor"/>
          </rPr>
          <t>======
ID#AAAAaLmGfKc
Elijah Joseph    (2022-05-31 06:30:51)
live, large new leaves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5KHCSuiAWPDzrGA97dW96PExZug=="/>
    </ext>
  </extL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32" authorId="0" shapeId="0" xr:uid="{00000000-0006-0000-0C00-000006000000}">
      <text>
        <r>
          <rPr>
            <sz val="10"/>
            <color rgb="FF000000"/>
            <rFont val="Calibri"/>
            <scheme val="minor"/>
          </rPr>
          <t>======
ID#AAAAa7BcvcY
Elijah Joseph    (2022-06-11 22:14:24)
old leaves</t>
        </r>
      </text>
    </comment>
    <comment ref="AM32" authorId="0" shapeId="0" xr:uid="{00000000-0006-0000-0C00-000005000000}">
      <text>
        <r>
          <rPr>
            <sz val="10"/>
            <color rgb="FF000000"/>
            <rFont val="Calibri"/>
            <scheme val="minor"/>
          </rPr>
          <t>======
ID#AAAAa7Bcvcc
Elijah Joseph    (2022-06-11 22:14:53)
“old leaves ugly”</t>
        </r>
      </text>
    </comment>
    <comment ref="AP32" authorId="0" shapeId="0" xr:uid="{00000000-0006-0000-0C00-000004000000}">
      <text>
        <r>
          <rPr>
            <sz val="10"/>
            <color rgb="FF000000"/>
            <rFont val="Calibri"/>
            <scheme val="minor"/>
          </rPr>
          <t>======
ID#AAAAa7Bcvcg
Elijah Joseph    (2022-06-11 22:15:21)
new leaves</t>
        </r>
      </text>
    </comment>
    <comment ref="AS32" authorId="0" shapeId="0" xr:uid="{00000000-0006-0000-0C00-000003000000}">
      <text>
        <r>
          <rPr>
            <sz val="10"/>
            <color rgb="FF000000"/>
            <rFont val="Calibri"/>
            <scheme val="minor"/>
          </rPr>
          <t>======
ID#AAAAa7Bcvck
Elijah Joseph    (2022-06-11 22:15:35)
new leaves</t>
        </r>
      </text>
    </comment>
    <comment ref="AV32" authorId="0" shapeId="0" xr:uid="{00000000-0006-0000-0C00-000002000000}">
      <text>
        <r>
          <rPr>
            <sz val="10"/>
            <color rgb="FF000000"/>
            <rFont val="Calibri"/>
            <scheme val="minor"/>
          </rPr>
          <t>======
ID#AAAAa7Bcvco
Elijah Joseph    (2022-06-11 22:15:51)
new leaves</t>
        </r>
      </text>
    </comment>
    <comment ref="AY32" authorId="0" shapeId="0" xr:uid="{00000000-0006-0000-0C00-000001000000}">
      <text>
        <r>
          <rPr>
            <sz val="10"/>
            <color rgb="FF000000"/>
            <rFont val="Calibri"/>
            <scheme val="minor"/>
          </rPr>
          <t>======
ID#AAAAa7Bcvcs
Elijah Joseph    (2022-06-11 22:16:11)
“old leaves ugly”</t>
        </r>
      </text>
    </comment>
    <comment ref="I53" authorId="0" shapeId="0" xr:uid="{00000000-0006-0000-0C00-00000A000000}">
      <text>
        <r>
          <rPr>
            <sz val="10"/>
            <color rgb="FF000000"/>
            <rFont val="Calibri"/>
            <scheme val="minor"/>
          </rPr>
          <t>======
ID#AAAAaOyOyio
Indra Boving    (2022-06-01 19:04:43)
1.25</t>
        </r>
      </text>
    </comment>
    <comment ref="L53" authorId="0" shapeId="0" xr:uid="{00000000-0006-0000-0C00-00000B000000}">
      <text>
        <r>
          <rPr>
            <sz val="10"/>
            <color rgb="FF000000"/>
            <rFont val="Calibri"/>
            <scheme val="minor"/>
          </rPr>
          <t>======
ID#AAAAaOyOyik
Indra Boving    (2022-06-01 19:04:31)
1.1</t>
        </r>
      </text>
    </comment>
    <comment ref="O53" authorId="0" shapeId="0" xr:uid="{00000000-0006-0000-0C00-00000F000000}">
      <text>
        <r>
          <rPr>
            <sz val="10"/>
            <color rgb="FF000000"/>
            <rFont val="Calibri"/>
            <scheme val="minor"/>
          </rPr>
          <t>======
ID#AAAAaLmGfKg
Elijah Joseph    (2022-05-31 06:30:52)
“broken?”</t>
        </r>
      </text>
    </comment>
    <comment ref="R53" authorId="0" shapeId="0" xr:uid="{00000000-0006-0000-0C00-000009000000}">
      <text>
        <r>
          <rPr>
            <sz val="10"/>
            <color rgb="FF000000"/>
            <rFont val="Calibri"/>
            <scheme val="minor"/>
          </rPr>
          <t>======
ID#AAAAaOyOyis
Indra Boving    (2022-06-01 19:05:18)
1.3</t>
        </r>
      </text>
    </comment>
    <comment ref="I93" authorId="0" shapeId="0" xr:uid="{00000000-0006-0000-0C00-00000C000000}">
      <text>
        <r>
          <rPr>
            <sz val="10"/>
            <color rgb="FF000000"/>
            <rFont val="Calibri"/>
            <scheme val="minor"/>
          </rPr>
          <t>======
ID#AAAAaLmGfK0
Elijah Joseph    (2022-05-31 06:38:03)
“broke?”
------
ID#AAAAaOyOyiw
Indra Boving    (2022-06-01 19:05:30)
.65</t>
        </r>
      </text>
    </comment>
    <comment ref="L93" authorId="0" shapeId="0" xr:uid="{00000000-0006-0000-0C00-00000D000000}">
      <text>
        <r>
          <rPr>
            <sz val="10"/>
            <color rgb="FF000000"/>
            <rFont val="Calibri"/>
            <scheme val="minor"/>
          </rPr>
          <t>======
ID#AAAAaLmGfKw
Elijah Joseph    (2022-05-31 06:37:38)
young leaves</t>
        </r>
      </text>
    </comment>
    <comment ref="O93" authorId="0" shapeId="0" xr:uid="{00000000-0006-0000-0C00-000008000000}">
      <text>
        <r>
          <rPr>
            <sz val="10"/>
            <color rgb="FF000000"/>
            <rFont val="Calibri"/>
            <scheme val="minor"/>
          </rPr>
          <t>======
ID#AAAAaOyOyi0
Indra Boving    (2022-06-01 19:05:48)
1.4/.4</t>
        </r>
      </text>
    </comment>
    <comment ref="O94" authorId="0" shapeId="0" xr:uid="{00000000-0006-0000-0C00-00000E000000}">
      <text>
        <r>
          <rPr>
            <sz val="10"/>
            <color rgb="FF000000"/>
            <rFont val="Calibri"/>
            <scheme val="minor"/>
          </rPr>
          <t>======
ID#AAAAaLmGfKk
Elijah Joseph    (2022-05-31 06:30:52)
stem</t>
        </r>
      </text>
    </comment>
    <comment ref="L146" authorId="0" shapeId="0" xr:uid="{00000000-0006-0000-0C00-000007000000}">
      <text>
        <r>
          <rPr>
            <sz val="10"/>
            <color rgb="FF000000"/>
            <rFont val="Calibri"/>
            <scheme val="minor"/>
          </rPr>
          <t>======
ID#AAAAaOyOyi4
Indra Boving    (2022-06-01 19:06:02)
.95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0RyCaXqNzIaCM8AP6l+8S4f8lFA=="/>
    </ext>
  </extLst>
</comments>
</file>

<file path=xl/sharedStrings.xml><?xml version="1.0" encoding="utf-8"?>
<sst xmlns="http://schemas.openxmlformats.org/spreadsheetml/2006/main" count="20284" uniqueCount="349">
  <si>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</si>
  <si>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</si>
  <si>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</si>
  <si>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</si>
  <si>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</si>
  <si>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</si>
  <si>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</si>
  <si>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</si>
  <si>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</si>
  <si>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</si>
  <si>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</si>
  <si>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</si>
  <si>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</si>
  <si>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</si>
  <si>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</si>
  <si>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</si>
  <si>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</si>
  <si>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</si>
  <si>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</si>
  <si>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</si>
  <si>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</si>
  <si>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</si>
  <si>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</si>
  <si>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</si>
  <si>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</si>
  <si>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</si>
  <si>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</si>
  <si>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</si>
  <si>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</si>
  <si>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</si>
  <si>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</si>
  <si>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</si>
  <si>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</si>
  <si>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</si>
  <si>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</si>
  <si>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</si>
  <si>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</si>
  <si>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</si>
  <si>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</si>
  <si>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</si>
  <si>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</si>
  <si>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</si>
  <si>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</si>
  <si>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</si>
  <si>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</si>
  <si>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</si>
  <si>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</si>
  <si>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</si>
  <si>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</si>
  <si>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</si>
  <si>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</si>
  <si>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</si>
  <si>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</si>
  <si>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</si>
  <si>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</si>
  <si>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</si>
  <si>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</si>
  <si>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</si>
  <si>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</si>
  <si>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</si>
  <si>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</si>
  <si>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</si>
  <si>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</si>
  <si>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</si>
  <si>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</si>
  <si>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</si>
  <si>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</si>
  <si>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</si>
  <si>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</si>
  <si>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</si>
  <si>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</si>
  <si>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</si>
  <si>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</si>
  <si>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</si>
  <si>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</si>
  <si>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</si>
  <si>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</si>
  <si>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</si>
  <si>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</si>
  <si>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</si>
  <si>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</si>
  <si>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</si>
  <si>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</si>
  <si>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</si>
  <si>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</si>
  <si>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</si>
  <si>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</si>
  <si>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</si>
  <si>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</si>
  <si>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</si>
  <si>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</si>
  <si>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</si>
  <si>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</si>
  <si>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</si>
  <si>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</si>
  <si>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</si>
  <si>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</si>
  <si>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</si>
  <si>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</si>
  <si>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</si>
  <si>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</si>
  <si>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</si>
  <si>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</si>
  <si>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</si>
  <si>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</si>
  <si>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</si>
  <si>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</si>
  <si>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</si>
  <si>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</si>
  <si>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</si>
  <si>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</si>
  <si>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</si>
  <si>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</si>
  <si>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</si>
  <si>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</si>
  <si>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</si>
  <si>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</si>
  <si>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</si>
  <si>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</si>
  <si>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</si>
  <si>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</si>
  <si>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</si>
  <si>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</si>
  <si>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</si>
  <si>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</si>
  <si>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</si>
  <si>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</si>
  <si>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</si>
  <si>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</si>
  <si>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</si>
  <si>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</si>
  <si>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</si>
  <si>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</si>
  <si>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</si>
  <si>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</si>
  <si>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</si>
  <si>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</si>
  <si>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</si>
  <si>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</si>
  <si>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</si>
  <si>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</si>
  <si>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</si>
  <si>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</si>
  <si>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</si>
  <si>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</si>
  <si>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</si>
  <si>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</si>
  <si>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</si>
  <si>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</si>
  <si>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</si>
  <si>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</si>
  <si>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</si>
  <si>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</si>
  <si>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</si>
  <si>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</si>
  <si>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</si>
  <si>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</si>
  <si>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</si>
  <si>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</si>
  <si>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</si>
  <si>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</si>
  <si>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</si>
  <si>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c</t>
  </si>
  <si>
    <t>Repeat of cell A-448</t>
  </si>
  <si>
    <t>Label says 2345 with 5 crossed out. Repeat of cell A-380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</si>
  <si>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</si>
  <si>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</si>
  <si>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</si>
  <si>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</si>
  <si>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</si>
  <si>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</si>
  <si>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</si>
  <si>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</si>
  <si>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</si>
  <si>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</si>
  <si>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</si>
  <si>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</si>
  <si>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</si>
  <si>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</si>
  <si>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</si>
  <si>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</si>
  <si>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</si>
  <si>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</si>
  <si>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</si>
  <si>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</si>
  <si>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</si>
  <si>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LEU_CUCU</t>
  </si>
  <si>
    <t>ARCA_CH</t>
  </si>
  <si>
    <t>Rep</t>
  </si>
  <si>
    <t>notes</t>
  </si>
  <si>
    <t>rwc</t>
  </si>
  <si>
    <t>RWC and LWC</t>
  </si>
  <si>
    <t>leaf</t>
  </si>
  <si>
    <t>RWC</t>
  </si>
  <si>
    <t>probably LWC</t>
  </si>
  <si>
    <t>LWC predawns</t>
  </si>
  <si>
    <t xml:space="preserve">RWC  </t>
  </si>
  <si>
    <t xml:space="preserve">RWC </t>
  </si>
  <si>
    <t>LWC</t>
  </si>
  <si>
    <t>date</t>
  </si>
  <si>
    <t>Tree_ID</t>
  </si>
  <si>
    <t>tree</t>
  </si>
  <si>
    <t>branch</t>
  </si>
  <si>
    <t>year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</si>
  <si>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</si>
  <si>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</si>
  <si>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</si>
  <si>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</si>
  <si>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</si>
  <si>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</si>
  <si>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</si>
  <si>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</si>
  <si>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</si>
  <si>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</si>
  <si>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</si>
  <si>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</si>
  <si>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</si>
  <si>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</si>
  <si>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</si>
  <si>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</si>
  <si>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</si>
  <si>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</si>
  <si>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</si>
  <si>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</si>
  <si>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</si>
  <si>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</si>
  <si>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</si>
  <si>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</si>
  <si>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</si>
  <si>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</si>
  <si>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</si>
  <si>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</si>
  <si>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</si>
  <si>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</si>
  <si>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</si>
  <si>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</si>
  <si>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</si>
  <si>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</si>
  <si>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</si>
  <si>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</si>
  <si>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</si>
  <si>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</si>
  <si>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</si>
  <si>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</si>
  <si>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</si>
  <si>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</si>
  <si>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</si>
  <si>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</si>
  <si>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</si>
  <si>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</si>
  <si>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</si>
  <si>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</si>
  <si>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</si>
  <si>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</si>
  <si>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</si>
  <si>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</si>
  <si>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</si>
  <si>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</si>
  <si>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</si>
  <si>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</si>
  <si>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</si>
  <si>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</si>
  <si>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</si>
  <si>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</si>
  <si>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</si>
  <si>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</si>
  <si>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</si>
  <si>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</si>
  <si>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</si>
  <si>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</si>
  <si>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</si>
  <si>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</si>
  <si>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</si>
  <si>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</si>
  <si>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</si>
  <si>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</si>
  <si>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</si>
  <si>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</si>
  <si>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</si>
  <si>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</si>
  <si>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</si>
  <si>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 xml:space="preserve"> </t>
  </si>
  <si>
    <t>Odd predawn measurements because measurement was taken on eve of next day.</t>
  </si>
  <si>
    <t>MD Water potentials are of old leaves</t>
  </si>
  <si>
    <t>listed as "Shedd ART", must be Chamise ARCA</t>
  </si>
  <si>
    <t>MD Single leaf wet and dry masses labeled 2385?</t>
  </si>
  <si>
    <t>n/a</t>
  </si>
  <si>
    <t xml:space="preserve">? </t>
  </si>
  <si>
    <t>?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</si>
  <si>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</si>
  <si>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</si>
  <si>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</si>
  <si>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</si>
  <si>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</si>
  <si>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</si>
  <si>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</si>
  <si>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</si>
  <si>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</si>
  <si>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</si>
  <si>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</si>
  <si>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</si>
  <si>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</si>
  <si>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.612 (?)</t>
  </si>
  <si>
    <t>0.6715x</t>
  </si>
  <si>
    <t xml:space="preserve">all broke for 2346, sp used middays from 2345 as a proxy...not sure there is anything more to do? </t>
  </si>
  <si>
    <t xml:space="preserve">predawns listed as "2127"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</si>
  <si>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</si>
  <si>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</si>
  <si>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</si>
  <si>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</si>
  <si>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labeld 2385 for PD values, but 2085 was missing PD and 2384 wasn't measured this round</t>
  </si>
  <si>
    <t>Y0 bulk: WM 1.657 DM 0.887 Y1 bulk: WM 1.162 DM 0.689</t>
  </si>
  <si>
    <t>Y0 bulk: WM 2.209 DM 1.177 Y1 bulk: WM 2.335 DM 1.388</t>
  </si>
  <si>
    <t>Y0 bulk: WM 1.497 DM 0.801. Y1 bulk: WM 1.580 DM 0.914</t>
  </si>
  <si>
    <t>labeled '2032' but probaby 2031</t>
  </si>
  <si>
    <t>MD_bulk_wet_y0</t>
  </si>
  <si>
    <t>MD_bulk_dry_y0</t>
  </si>
  <si>
    <t>MD_bulk_wet_y1</t>
  </si>
  <si>
    <t>MD_bulk_dry_Y1</t>
  </si>
  <si>
    <t>might be y1, hard to tell, pd_bulk samples named '2076'</t>
  </si>
  <si>
    <t xml:space="preserve">duplicate PD envelopes with different weights, contents. One must be mislabeled. </t>
  </si>
  <si>
    <t>predawns originally labeled '2082'</t>
  </si>
  <si>
    <t>Originally labeled '2083' but has to be 2383 because data missing and didn't sample 2085</t>
  </si>
  <si>
    <t>All of these initially in CHAM-LEU, but given this note I moved up"no tag listed on this besides LL, not sure if LL is the chamise location-cc"</t>
  </si>
  <si>
    <t>Labeled LL-ARCA, there was a wet sample of MD_bulk_wet of 0.776g. but the dried sample weight is pasted ther</t>
  </si>
  <si>
    <t>listed as actual</t>
  </si>
  <si>
    <t>two bulk dry Y0 values</t>
  </si>
  <si>
    <t>there were two 2020 samples, neither with dates</t>
  </si>
  <si>
    <t>no recorded wet mass</t>
  </si>
  <si>
    <t>middays mislabeled 1475</t>
  </si>
  <si>
    <t>tag wasn't in spreadsheet originally, plot number unknown</t>
  </si>
  <si>
    <t>don't know where it goes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</si>
  <si>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</si>
  <si>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</si>
  <si>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</si>
  <si>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</si>
  <si>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</si>
  <si>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</si>
  <si>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</si>
  <si>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</si>
  <si>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</si>
  <si>
    <t>mystery wc leaves from just under 2380</t>
  </si>
  <si>
    <t>UNK</t>
  </si>
  <si>
    <t>only shows up once for MD, week 19, tree tag doesn't exist. But 2384 not missing any data. Looks like probably 2004</t>
  </si>
  <si>
    <t>dropped from sampling because small canopy</t>
  </si>
  <si>
    <t>missing tag</t>
  </si>
  <si>
    <t>mislabeled 2086 in the lat-lon spreadsheet</t>
  </si>
  <si>
    <t>Mislabel</t>
  </si>
  <si>
    <t>LEUC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</si>
</sst>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m/d"/>
    <numFmt numFmtId="167" formatCode="0.0000"/>
    <numFmt numFmtId="168" formatCode="m\-d"/>
  </numFmts>
  <fonts count="17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theme="1"/>
      <name val="Calibri"/>
    </font>
    <font>
      <sz val="8"/>
      <color theme="1"/>
      <name val="Calibri"/>
    </font>
    <font>
      <sz val="8"/>
      <color rgb="FF000000"/>
      <name val="Calibri"/>
    </font>
    <font>
      <sz val="11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sz val="10"/>
      <color theme="1"/>
      <name val="Calibri"/>
      <scheme val="minor"/>
    </font>
    <font>
      <sz val="10"/>
      <color rgb="FF000000"/>
      <name val="Arial"/>
    </font>
    <font>
      <sz val="10"/>
      <color rgb="FF000000"/>
      <name val="Calibri"/>
    </font>
    <font>
      <b/>
      <sz val="10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</font>
    <font>
      <sz val="11"/>
      <color rgb="FF3C4043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2" fillId="0" borderId="0" xfId="0" applyFont="1"/>
    <xf numFmtId="14" fontId="3" fillId="0" borderId="0" xfId="0" applyNumberFormat="1" applyFont="1"/>
    <xf numFmtId="0" fontId="3" fillId="0" borderId="4" xfId="0" applyFont="1" applyBorder="1" applyAlignment="1"/>
    <xf numFmtId="0" fontId="3" fillId="0" borderId="0" xfId="0" applyFont="1" applyAlignment="1"/>
    <xf numFmtId="0" fontId="3" fillId="0" borderId="5" xfId="0" applyFont="1" applyBorder="1" applyAlignment="1"/>
    <xf numFmtId="0" fontId="4" fillId="0" borderId="6" xfId="0" applyFont="1" applyBorder="1" applyAlignment="1">
      <alignment wrapText="1"/>
    </xf>
    <xf numFmtId="0" fontId="4" fillId="0" borderId="7" xfId="0" applyFont="1" applyBorder="1"/>
    <xf numFmtId="0" fontId="5" fillId="0" borderId="6" xfId="0" applyFont="1" applyBorder="1" applyAlignment="1">
      <alignment wrapText="1"/>
    </xf>
    <xf numFmtId="164" fontId="6" fillId="2" borderId="8" xfId="0" applyNumberFormat="1" applyFont="1" applyFill="1" applyBorder="1" applyAlignment="1">
      <alignment horizontal="left" wrapText="1"/>
    </xf>
    <xf numFmtId="165" fontId="7" fillId="0" borderId="7" xfId="0" applyNumberFormat="1" applyFont="1" applyBorder="1" applyAlignment="1">
      <alignment wrapText="1"/>
    </xf>
    <xf numFmtId="2" fontId="4" fillId="0" borderId="7" xfId="0" applyNumberFormat="1" applyFont="1" applyBorder="1" applyAlignment="1">
      <alignment wrapText="1"/>
    </xf>
    <xf numFmtId="2" fontId="8" fillId="0" borderId="7" xfId="0" applyNumberFormat="1" applyFont="1" applyBorder="1"/>
    <xf numFmtId="2" fontId="8" fillId="0" borderId="6" xfId="0" applyNumberFormat="1" applyFont="1" applyBorder="1"/>
    <xf numFmtId="165" fontId="9" fillId="0" borderId="7" xfId="0" applyNumberFormat="1" applyFont="1" applyBorder="1" applyAlignment="1">
      <alignment horizontal="right" wrapText="1"/>
    </xf>
    <xf numFmtId="165" fontId="9" fillId="0" borderId="7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4" fillId="0" borderId="9" xfId="0" applyFont="1" applyBorder="1"/>
    <xf numFmtId="0" fontId="3" fillId="0" borderId="7" xfId="0" applyFont="1" applyBorder="1"/>
    <xf numFmtId="0" fontId="3" fillId="0" borderId="7" xfId="0" applyFont="1" applyBorder="1" applyAlignment="1"/>
    <xf numFmtId="2" fontId="3" fillId="0" borderId="0" xfId="0" applyNumberFormat="1" applyFont="1" applyAlignment="1">
      <alignment horizontal="right"/>
    </xf>
    <xf numFmtId="9" fontId="2" fillId="0" borderId="0" xfId="0" applyNumberFormat="1" applyFont="1"/>
    <xf numFmtId="0" fontId="10" fillId="0" borderId="0" xfId="0" applyFont="1"/>
    <xf numFmtId="0" fontId="2" fillId="3" borderId="10" xfId="0" applyFont="1" applyFill="1" applyBorder="1"/>
    <xf numFmtId="165" fontId="3" fillId="0" borderId="0" xfId="0" applyNumberFormat="1" applyFont="1" applyAlignment="1">
      <alignment horizontal="right"/>
    </xf>
    <xf numFmtId="0" fontId="2" fillId="4" borderId="10" xfId="0" applyFont="1" applyFill="1" applyBorder="1"/>
    <xf numFmtId="165" fontId="3" fillId="0" borderId="0" xfId="0" applyNumberFormat="1" applyFont="1"/>
    <xf numFmtId="0" fontId="2" fillId="0" borderId="0" xfId="0" applyFont="1" applyAlignment="1"/>
    <xf numFmtId="2" fontId="2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2" fillId="5" borderId="10" xfId="0" applyFont="1" applyFill="1" applyBorder="1"/>
    <xf numFmtId="164" fontId="2" fillId="5" borderId="10" xfId="0" applyNumberFormat="1" applyFont="1" applyFill="1" applyBorder="1"/>
    <xf numFmtId="165" fontId="2" fillId="5" borderId="10" xfId="0" applyNumberFormat="1" applyFont="1" applyFill="1" applyBorder="1"/>
    <xf numFmtId="2" fontId="2" fillId="5" borderId="10" xfId="0" applyNumberFormat="1" applyFont="1" applyFill="1" applyBorder="1"/>
    <xf numFmtId="2" fontId="3" fillId="5" borderId="10" xfId="0" applyNumberFormat="1" applyFont="1" applyFill="1" applyBorder="1" applyAlignment="1">
      <alignment horizontal="right"/>
    </xf>
    <xf numFmtId="165" fontId="2" fillId="5" borderId="10" xfId="0" applyNumberFormat="1" applyFont="1" applyFill="1" applyBorder="1" applyAlignment="1">
      <alignment horizontal="right"/>
    </xf>
    <xf numFmtId="9" fontId="2" fillId="5" borderId="10" xfId="0" applyNumberFormat="1" applyFont="1" applyFill="1" applyBorder="1"/>
    <xf numFmtId="0" fontId="3" fillId="5" borderId="10" xfId="0" applyFont="1" applyFill="1" applyBorder="1"/>
    <xf numFmtId="165" fontId="2" fillId="6" borderId="10" xfId="0" applyNumberFormat="1" applyFont="1" applyFill="1" applyBorder="1"/>
    <xf numFmtId="2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5" fontId="2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10" fillId="0" borderId="0" xfId="0" applyFont="1" applyAlignment="1"/>
    <xf numFmtId="1" fontId="2" fillId="0" borderId="0" xfId="0" applyNumberFormat="1" applyFont="1"/>
    <xf numFmtId="2" fontId="3" fillId="0" borderId="0" xfId="0" applyNumberFormat="1" applyFont="1" applyAlignment="1"/>
    <xf numFmtId="1" fontId="10" fillId="0" borderId="0" xfId="0" applyNumberFormat="1" applyFont="1" applyAlignment="1"/>
    <xf numFmtId="0" fontId="8" fillId="0" borderId="6" xfId="0" applyFont="1" applyBorder="1" applyAlignment="1"/>
    <xf numFmtId="0" fontId="8" fillId="0" borderId="6" xfId="0" applyFont="1" applyBorder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3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166" fontId="10" fillId="0" borderId="0" xfId="0" applyNumberFormat="1" applyFont="1" applyAlignment="1"/>
    <xf numFmtId="0" fontId="10" fillId="7" borderId="0" xfId="0" applyFont="1" applyFill="1" applyAlignment="1"/>
    <xf numFmtId="167" fontId="10" fillId="0" borderId="0" xfId="0" applyNumberFormat="1" applyFont="1" applyAlignment="1"/>
    <xf numFmtId="14" fontId="10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>
      <alignment wrapText="1"/>
    </xf>
    <xf numFmtId="0" fontId="8" fillId="0" borderId="0" xfId="0" applyFont="1" applyAlignment="1"/>
    <xf numFmtId="14" fontId="2" fillId="0" borderId="0" xfId="0" applyNumberFormat="1" applyFont="1" applyAlignment="1"/>
    <xf numFmtId="0" fontId="10" fillId="0" borderId="7" xfId="0" applyFont="1" applyBorder="1" applyAlignment="1"/>
    <xf numFmtId="3" fontId="10" fillId="0" borderId="0" xfId="0" applyNumberFormat="1" applyFont="1" applyAlignment="1"/>
    <xf numFmtId="0" fontId="10" fillId="8" borderId="0" xfId="0" applyFont="1" applyFill="1"/>
    <xf numFmtId="0" fontId="10" fillId="8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/>
    <xf numFmtId="168" fontId="10" fillId="0" borderId="0" xfId="0" applyNumberFormat="1" applyFont="1" applyAlignment="1"/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12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0" fillId="9" borderId="0" xfId="0" applyFont="1" applyFill="1" applyAlignment="1"/>
    <xf numFmtId="0" fontId="10" fillId="9" borderId="0" xfId="0" applyFont="1" applyFill="1"/>
    <xf numFmtId="165" fontId="2" fillId="9" borderId="0" xfId="0" applyNumberFormat="1" applyFont="1" applyFill="1" applyAlignment="1"/>
    <xf numFmtId="165" fontId="2" fillId="8" borderId="0" xfId="0" applyNumberFormat="1" applyFont="1" applyFill="1" applyAlignment="1"/>
    <xf numFmtId="0" fontId="15" fillId="0" borderId="0" xfId="0" applyFont="1" applyAlignment="1"/>
    <xf numFmtId="0" fontId="15" fillId="0" borderId="0" xfId="0" applyFont="1" applyAlignment="1"/>
    <xf numFmtId="0" fontId="8" fillId="0" borderId="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
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
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
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
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
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
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
<Relationships xmlns="http://schemas.openxmlformats.org/package/2006/relationships"><Relationship Id="rId1" Type="http://customschemas.google.com/relationships/workbookmetadata" Target="commentsmeta15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
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1011"/>
  <sheetViews>
    <sheetView workbookViewId="0">
      <pane xSplit="3" ySplit="6" topLeftCell="D94" activePane="bottomRight" state="frozen"/>
      <selection pane="topRight" activeCell="D1" sqref="D1"/>
      <selection pane="bottomLeft" activeCell="A7" sqref="A7"/>
      <selection pane="bottomRight" activeCell="E121" sqref="E121"/>
    </sheetView>
  </sheetViews>
  <sheetFormatPr baseColWidth="10" defaultColWidth="14.3984375" defaultRowHeight="15" customHeight="1" x14ac:dyDescent="0.2"/>
  <cols>
    <col min="1" max="1" width="15.796875" customWidth="1"/>
    <col min="2" max="3" width="11.3984375" customWidth="1"/>
    <col min="4" max="4" width="8.796875" customWidth="1"/>
    <col min="5" max="5" width="7.19921875" customWidth="1"/>
    <col min="6" max="9" width="10.19921875" customWidth="1"/>
    <col min="10" max="13" width="14.3984375" customWidth="1"/>
    <col min="14" max="16" width="14.3984375" hidden="1" customWidth="1"/>
    <col min="17" max="17" width="14.3984375" customWidth="1"/>
    <col min="21" max="36" width="14.3984375" customWidth="1"/>
    <col min="37" max="64" width="20.796875" customWidth="1"/>
  </cols>
  <sheetData>
    <row r="1" spans="1:64" ht="15.75" customHeight="1" x14ac:dyDescent="0.2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spans="1:64" ht="8.25" customHeight="1" x14ac:dyDescent="0.2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spans="1:64" ht="15.75" customHeight="1" x14ac:dyDescent="0.2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spans="1:64" ht="15.75" customHeight="1" x14ac:dyDescent="0.2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spans="1:64" ht="21.75" customHeight="1" x14ac:dyDescent="0.2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spans="1:64" ht="15.75" customHeight="1" x14ac:dyDescent="0.2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spans="1:64" ht="17.25" customHeight="1" x14ac:dyDescent="0.2">
      <c r="A7" s="12" t="s">
        <v>57</v>
      </c>
      <c r="B7" s="12" t="s">
        <v>58</v>
      </c>
      <c r="C7" s="12">
        <v>2352</v>
      </c>
      <c r="D7" s="12" t="s">
        <v>59</v>
      </c>
      <c r="E7" s="12">
        <v>21</v>
      </c>
      <c r="F7" s="3">
        <f t="shared" ref="F7:F30" si="0">E7/3.281</f>
        <v>6.4004876562023769</v>
      </c>
      <c r="G7" s="4">
        <v>53.5</v>
      </c>
      <c r="H7" s="31">
        <v>0</v>
      </c>
      <c r="I7" s="31">
        <v>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2.4700000000000002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1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0.24610000000000001</v>
      </c>
      <c r="AX7" s="15">
        <v>1.75</v>
      </c>
      <c r="AY7" s="15">
        <v>0.21959999999999999</v>
      </c>
      <c r="AZ7" s="15">
        <v>1.85</v>
      </c>
      <c r="BA7" s="15">
        <v>0.1721</v>
      </c>
      <c r="BB7" s="15">
        <v>2.95</v>
      </c>
      <c r="BC7" s="15">
        <v>0.21</v>
      </c>
      <c r="BD7" s="15">
        <v>2</v>
      </c>
      <c r="BE7" s="15">
        <v>0.23780000000000001</v>
      </c>
      <c r="BF7" s="15">
        <v>2.6</v>
      </c>
      <c r="BG7" s="15">
        <v>0.19089999999999999</v>
      </c>
      <c r="BH7" s="9"/>
      <c r="BI7" s="9"/>
      <c r="BJ7" s="9"/>
      <c r="BK7" s="15">
        <v>0.24099999999999999</v>
      </c>
      <c r="BL7" s="9"/>
    </row>
    <row r="8" spans="1:64" ht="17.25" customHeight="1" x14ac:dyDescent="0.2">
      <c r="A8" s="12" t="s">
        <v>57</v>
      </c>
      <c r="B8" s="12" t="s">
        <v>58</v>
      </c>
      <c r="C8" s="12">
        <v>2353</v>
      </c>
      <c r="D8" s="12" t="s">
        <v>62</v>
      </c>
      <c r="E8" s="12">
        <v>44</v>
      </c>
      <c r="F8" s="3">
        <f t="shared" si="0"/>
        <v>13.41054556537641</v>
      </c>
      <c r="G8" s="4">
        <v>45.3</v>
      </c>
      <c r="H8" s="31">
        <v>0</v>
      </c>
      <c r="I8" s="31">
        <v>0</v>
      </c>
      <c r="K8" s="31">
        <v>441.15</v>
      </c>
      <c r="L8" s="5" t="s">
        <v>60</v>
      </c>
      <c r="M8" s="3">
        <v>8.9629999999999992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e">
        <f t="shared" si="1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spans="1:64" ht="17.25" customHeight="1" x14ac:dyDescent="0.2">
      <c r="A9" s="12" t="s">
        <v>57</v>
      </c>
      <c r="B9" s="12" t="s">
        <v>58</v>
      </c>
      <c r="C9" s="34">
        <v>2354</v>
      </c>
      <c r="D9" s="12" t="s">
        <v>59</v>
      </c>
      <c r="E9" s="12">
        <v>45</v>
      </c>
      <c r="F9" s="3">
        <f t="shared" si="0"/>
        <v>13.715330691862237</v>
      </c>
      <c r="G9" s="3">
        <v>62.5</v>
      </c>
      <c r="H9" s="31">
        <v>58.2</v>
      </c>
      <c r="I9" s="31">
        <v>0</v>
      </c>
      <c r="K9" s="31">
        <v>193.59</v>
      </c>
      <c r="L9" s="5" t="s">
        <v>60</v>
      </c>
      <c r="M9" s="3">
        <v>12.465999999999999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0.96199999999999997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1"/>
        <v>1.7683999999999997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0.28810000000000002</v>
      </c>
      <c r="AX9" s="15">
        <v>1.69</v>
      </c>
      <c r="AY9" s="15">
        <v>0.28399999999999997</v>
      </c>
      <c r="AZ9" s="15">
        <v>1.7</v>
      </c>
      <c r="BA9" s="15">
        <v>0.2087</v>
      </c>
      <c r="BB9" s="15">
        <v>1.65</v>
      </c>
      <c r="BC9" s="15">
        <v>0.36809999999999998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spans="1:64" ht="17.25" customHeight="1" x14ac:dyDescent="0.2">
      <c r="A10" s="12" t="s">
        <v>57</v>
      </c>
      <c r="B10" s="12" t="s">
        <v>64</v>
      </c>
      <c r="C10" s="12">
        <v>2355</v>
      </c>
      <c r="D10" s="12" t="s">
        <v>59</v>
      </c>
      <c r="E10" s="12">
        <v>54</v>
      </c>
      <c r="F10" s="3">
        <f t="shared" si="0"/>
        <v>16.458396830234683</v>
      </c>
      <c r="G10" s="4">
        <v>17.7</v>
      </c>
      <c r="H10" s="31">
        <v>0</v>
      </c>
      <c r="I10" s="31">
        <v>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</v>
      </c>
      <c r="V10" s="15">
        <v>2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e">
        <f t="shared" si="1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spans="1:64" ht="17.25" customHeight="1" x14ac:dyDescent="0.2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</v>
      </c>
      <c r="F11" s="3">
        <f t="shared" si="0"/>
        <v>17.067967083206337</v>
      </c>
      <c r="G11" s="4">
        <v>18.600000000000001</v>
      </c>
      <c r="H11" s="31">
        <v>0</v>
      </c>
      <c r="I11" s="31">
        <v>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e">
        <f t="shared" si="1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spans="1:64" ht="17.25" customHeight="1" x14ac:dyDescent="0.2">
      <c r="A12" s="12" t="s">
        <v>57</v>
      </c>
      <c r="B12" s="12" t="s">
        <v>64</v>
      </c>
      <c r="C12" s="12">
        <v>2356</v>
      </c>
      <c r="D12" s="12" t="s">
        <v>59</v>
      </c>
      <c r="E12" s="12">
        <v>64.099999999999994</v>
      </c>
      <c r="F12" s="3">
        <f t="shared" si="0"/>
        <v>19.536726607741539</v>
      </c>
      <c r="G12" s="4">
        <v>26.2</v>
      </c>
      <c r="H12" s="31">
        <v>0</v>
      </c>
      <c r="I12" s="31">
        <v>0</v>
      </c>
      <c r="K12" s="31">
        <v>2248.0100000000002</v>
      </c>
      <c r="L12" s="5" t="s">
        <v>60</v>
      </c>
      <c r="M12" s="3">
        <v>13.898999999999999</v>
      </c>
      <c r="N12" s="32">
        <v>0.1</v>
      </c>
      <c r="O12" s="32">
        <v>0.05</v>
      </c>
      <c r="T12" s="33" t="s">
        <v>61</v>
      </c>
      <c r="U12" s="14">
        <v>3</v>
      </c>
      <c r="V12" s="15">
        <v>2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e">
        <f t="shared" si="1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spans="1:64" ht="17.25" customHeight="1" x14ac:dyDescent="0.2">
      <c r="A13" s="12" t="s">
        <v>57</v>
      </c>
      <c r="B13" s="12" t="s">
        <v>64</v>
      </c>
      <c r="C13" s="12">
        <v>2357</v>
      </c>
      <c r="D13" s="12" t="s">
        <v>59</v>
      </c>
      <c r="E13" s="12">
        <v>70</v>
      </c>
      <c r="F13" s="3">
        <f t="shared" si="0"/>
        <v>21.334958854007922</v>
      </c>
      <c r="G13" s="4">
        <v>23.6</v>
      </c>
      <c r="H13" s="31">
        <v>0</v>
      </c>
      <c r="I13" s="31">
        <v>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</v>
      </c>
      <c r="V13" s="15">
        <v>4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e">
        <f t="shared" si="1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spans="1:64" ht="17.25" customHeight="1" x14ac:dyDescent="0.2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</v>
      </c>
      <c r="F14" s="3">
        <f t="shared" si="0"/>
        <v>22.249314233465405</v>
      </c>
      <c r="G14" s="3">
        <v>16.899999999999999</v>
      </c>
      <c r="H14" s="31">
        <v>0</v>
      </c>
      <c r="I14" s="31">
        <v>0</v>
      </c>
      <c r="K14" s="31">
        <v>246.06</v>
      </c>
      <c r="L14" s="5" t="s">
        <v>60</v>
      </c>
      <c r="M14" s="3">
        <v>10.210000000000001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e">
        <f t="shared" si="1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ht="17.25" customHeight="1" x14ac:dyDescent="0.2">
      <c r="A15" s="12" t="s">
        <v>57</v>
      </c>
      <c r="B15" s="12" t="s">
        <v>64</v>
      </c>
      <c r="C15" s="12">
        <v>2358</v>
      </c>
      <c r="D15" s="12" t="s">
        <v>62</v>
      </c>
      <c r="E15" s="12">
        <v>74.5</v>
      </c>
      <c r="F15" s="3">
        <f t="shared" si="0"/>
        <v>22.706491923194147</v>
      </c>
      <c r="G15" s="4">
        <v>26.5</v>
      </c>
      <c r="H15" s="31">
        <v>0</v>
      </c>
      <c r="I15" s="31">
        <v>0</v>
      </c>
      <c r="K15" s="31">
        <v>271.72000000000003</v>
      </c>
      <c r="L15" s="5" t="s">
        <v>60</v>
      </c>
      <c r="M15" s="3">
        <v>9.5280000000000005</v>
      </c>
      <c r="N15" s="32">
        <v>0.8</v>
      </c>
      <c r="O15" s="32">
        <v>0.3</v>
      </c>
      <c r="T15" s="33" t="s">
        <v>61</v>
      </c>
      <c r="U15" s="14">
        <v>0</v>
      </c>
      <c r="V15" s="15">
        <v>3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e">
        <f t="shared" si="1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spans="1:64" ht="17.25" customHeight="1" x14ac:dyDescent="0.2">
      <c r="A16" s="12" t="s">
        <v>57</v>
      </c>
      <c r="B16" s="12" t="s">
        <v>64</v>
      </c>
      <c r="C16" s="12">
        <v>2359</v>
      </c>
      <c r="D16" s="12" t="s">
        <v>59</v>
      </c>
      <c r="E16" s="12">
        <v>79.099999999999994</v>
      </c>
      <c r="F16" s="3">
        <f t="shared" si="0"/>
        <v>24.108503505028953</v>
      </c>
      <c r="G16" s="4">
        <v>15.7</v>
      </c>
      <c r="H16" s="31">
        <v>0</v>
      </c>
      <c r="I16" s="31">
        <v>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4.1500000000000004</v>
      </c>
      <c r="R16" s="33">
        <v>4.2</v>
      </c>
      <c r="T16" s="33" t="s">
        <v>61</v>
      </c>
      <c r="U16" s="14">
        <v>0</v>
      </c>
      <c r="V16" s="15">
        <v>3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e">
        <f t="shared" si="1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ht="17.25" customHeight="1" x14ac:dyDescent="0.2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</v>
      </c>
      <c r="F17" s="3">
        <f t="shared" si="0"/>
        <v>25.297165498323682</v>
      </c>
      <c r="G17" s="3">
        <v>21.4</v>
      </c>
      <c r="H17" s="31">
        <v>0</v>
      </c>
      <c r="I17" s="31">
        <v>0</v>
      </c>
      <c r="K17" s="31">
        <v>551.54999999999995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e">
        <f t="shared" si="1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spans="1:64" ht="17.25" customHeight="1" x14ac:dyDescent="0.2">
      <c r="A18" s="12" t="s">
        <v>57</v>
      </c>
      <c r="B18" s="12" t="s">
        <v>64</v>
      </c>
      <c r="C18" s="12">
        <v>2360</v>
      </c>
      <c r="D18" s="12" t="s">
        <v>62</v>
      </c>
      <c r="E18" s="12">
        <v>101</v>
      </c>
      <c r="F18" s="3">
        <f t="shared" si="0"/>
        <v>30.783297775068576</v>
      </c>
      <c r="G18" s="3">
        <v>23</v>
      </c>
      <c r="H18" s="35">
        <v>0</v>
      </c>
      <c r="I18" s="35">
        <v>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</v>
      </c>
      <c r="V18" s="15">
        <v>5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e">
        <f t="shared" si="1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spans="1:64" ht="17.25" customHeight="1" x14ac:dyDescent="0.2">
      <c r="A19" s="12" t="s">
        <v>57</v>
      </c>
      <c r="B19" s="12" t="s">
        <v>64</v>
      </c>
      <c r="C19" s="12">
        <v>2361</v>
      </c>
      <c r="D19" s="12" t="s">
        <v>59</v>
      </c>
      <c r="E19" s="12">
        <v>104.2</v>
      </c>
      <c r="F19" s="3">
        <f t="shared" si="0"/>
        <v>31.758610179823226</v>
      </c>
      <c r="G19" s="3">
        <f>E19/3.281</f>
        <v>31.758610179823226</v>
      </c>
      <c r="H19" s="35">
        <v>0</v>
      </c>
      <c r="I19" s="35">
        <v>0</v>
      </c>
      <c r="K19" s="35">
        <v>224.32</v>
      </c>
      <c r="L19" s="5" t="s">
        <v>60</v>
      </c>
      <c r="M19" s="3">
        <v>6.5789999999999997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</v>
      </c>
      <c r="V19" s="15">
        <v>2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e">
        <f t="shared" si="1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ht="17.25" customHeight="1" x14ac:dyDescent="0.2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</v>
      </c>
      <c r="F20" s="3">
        <f t="shared" si="0"/>
        <v>33.831149039926849</v>
      </c>
      <c r="G20" s="3">
        <v>30.4</v>
      </c>
      <c r="H20" s="35">
        <v>0</v>
      </c>
      <c r="I20" s="35">
        <v>0</v>
      </c>
      <c r="K20" s="35">
        <v>415.48</v>
      </c>
      <c r="L20" s="5" t="s">
        <v>60</v>
      </c>
      <c r="M20" s="3">
        <v>6.1509999999999998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e">
        <f t="shared" si="1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ht="17.25" customHeight="1" x14ac:dyDescent="0.2">
      <c r="A21" s="12" t="s">
        <v>57</v>
      </c>
      <c r="B21" s="12" t="s">
        <v>64</v>
      </c>
      <c r="C21" s="12">
        <v>2362</v>
      </c>
      <c r="D21" s="36" t="s">
        <v>59</v>
      </c>
      <c r="E21" s="12">
        <v>114</v>
      </c>
      <c r="F21" s="3">
        <f t="shared" si="0"/>
        <v>34.745504419384332</v>
      </c>
      <c r="G21" s="4">
        <v>18</v>
      </c>
      <c r="H21" s="35">
        <v>0</v>
      </c>
      <c r="I21" s="35">
        <v>0</v>
      </c>
      <c r="K21" s="35">
        <v>725.83</v>
      </c>
      <c r="L21" s="5" t="s">
        <v>60</v>
      </c>
      <c r="M21" s="3">
        <v>8.4489999999999998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</v>
      </c>
      <c r="V21" s="15">
        <v>6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e">
        <f t="shared" si="1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ht="17.25" customHeight="1" x14ac:dyDescent="0.2">
      <c r="A22" s="12" t="s">
        <v>57</v>
      </c>
      <c r="B22" s="12" t="s">
        <v>64</v>
      </c>
      <c r="C22" s="12">
        <v>2363</v>
      </c>
      <c r="D22" s="12" t="s">
        <v>59</v>
      </c>
      <c r="E22" s="12">
        <v>118</v>
      </c>
      <c r="F22" s="3">
        <f t="shared" si="0"/>
        <v>35.96464492532764</v>
      </c>
      <c r="G22" s="3">
        <v>23.8</v>
      </c>
      <c r="H22" s="35">
        <v>0</v>
      </c>
      <c r="I22" s="35">
        <v>0</v>
      </c>
      <c r="K22" s="35">
        <v>444.88</v>
      </c>
      <c r="L22" s="5" t="s">
        <v>60</v>
      </c>
      <c r="M22" s="3">
        <v>9.3659999999999997</v>
      </c>
      <c r="N22" s="32">
        <v>0.8</v>
      </c>
      <c r="O22" s="32">
        <v>0.3</v>
      </c>
      <c r="T22" s="33" t="s">
        <v>61</v>
      </c>
      <c r="U22" s="14">
        <v>2</v>
      </c>
      <c r="V22" s="15">
        <v>2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e">
        <f t="shared" si="1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ht="17.25" customHeight="1" x14ac:dyDescent="0.2">
      <c r="A23" s="12" t="s">
        <v>57</v>
      </c>
      <c r="B23" s="12" t="s">
        <v>64</v>
      </c>
      <c r="C23" s="12">
        <v>2364</v>
      </c>
      <c r="D23" s="12" t="s">
        <v>59</v>
      </c>
      <c r="E23" s="12">
        <v>124</v>
      </c>
      <c r="F23" s="3">
        <f t="shared" si="0"/>
        <v>37.793355684242606</v>
      </c>
      <c r="G23" s="3">
        <v>28.3</v>
      </c>
      <c r="H23" s="35">
        <v>0</v>
      </c>
      <c r="I23" s="35">
        <v>0</v>
      </c>
      <c r="K23" s="35">
        <v>629.02</v>
      </c>
      <c r="L23" s="5" t="s">
        <v>60</v>
      </c>
      <c r="M23" s="3">
        <v>12.734999999999999</v>
      </c>
      <c r="N23" s="32">
        <v>0.6</v>
      </c>
      <c r="O23" s="32">
        <v>0.4</v>
      </c>
      <c r="Q23" s="33">
        <v>4.3</v>
      </c>
      <c r="R23" s="33">
        <v>4.2699999999999996</v>
      </c>
      <c r="T23" s="33" t="s">
        <v>61</v>
      </c>
      <c r="U23" s="14">
        <v>2</v>
      </c>
      <c r="V23" s="15">
        <v>1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e">
        <f t="shared" si="1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ht="17.25" customHeight="1" x14ac:dyDescent="0.2">
      <c r="A24" s="12" t="s">
        <v>57</v>
      </c>
      <c r="B24" s="12" t="s">
        <v>64</v>
      </c>
      <c r="C24" s="12">
        <v>2365</v>
      </c>
      <c r="D24" s="12" t="s">
        <v>62</v>
      </c>
      <c r="E24" s="12">
        <v>126.3</v>
      </c>
      <c r="F24" s="3">
        <f t="shared" si="0"/>
        <v>38.494361475160012</v>
      </c>
      <c r="G24" s="4">
        <v>42.4</v>
      </c>
      <c r="H24" s="35">
        <v>11</v>
      </c>
      <c r="I24" s="35">
        <v>0</v>
      </c>
      <c r="K24" s="35">
        <v>343.88</v>
      </c>
      <c r="L24" s="5" t="s">
        <v>60</v>
      </c>
      <c r="M24" s="3">
        <v>8.1180000000000003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</v>
      </c>
      <c r="V24" s="15">
        <v>3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e">
        <f t="shared" si="1"/>
        <v>#DIV/0!</v>
      </c>
      <c r="AL24" s="11"/>
      <c r="AM24" s="9"/>
      <c r="AN24" s="9"/>
      <c r="AO24" s="14">
        <v>1.82</v>
      </c>
      <c r="AP24" s="15">
        <v>1.5189999999999999</v>
      </c>
      <c r="AQ24" s="15">
        <v>1.63</v>
      </c>
      <c r="AR24" s="9"/>
      <c r="AS24" s="9"/>
      <c r="AT24" s="9"/>
      <c r="AU24" s="9"/>
      <c r="AV24" s="15">
        <v>1.65</v>
      </c>
      <c r="AW24" s="15">
        <v>6.2199999999999998E-2</v>
      </c>
      <c r="AX24" s="15">
        <v>2.8</v>
      </c>
      <c r="AY24" s="15">
        <v>0.1227</v>
      </c>
      <c r="AZ24" s="15">
        <v>1.85</v>
      </c>
      <c r="BA24" s="15">
        <v>0.14011999999999999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2.0148999999999999</v>
      </c>
      <c r="BL24" s="9"/>
    </row>
    <row r="25" spans="1:64" ht="17.25" customHeight="1" x14ac:dyDescent="0.2">
      <c r="A25" s="12" t="s">
        <v>57</v>
      </c>
      <c r="B25" s="12" t="s">
        <v>64</v>
      </c>
      <c r="C25" s="12">
        <v>2366</v>
      </c>
      <c r="D25" s="36" t="s">
        <v>59</v>
      </c>
      <c r="E25" s="2">
        <v>135.69999999999999</v>
      </c>
      <c r="F25" s="3">
        <f t="shared" si="0"/>
        <v>41.359341664126788</v>
      </c>
      <c r="G25" s="4">
        <v>26.3</v>
      </c>
      <c r="H25" s="35">
        <v>16</v>
      </c>
      <c r="I25" s="35">
        <v>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</v>
      </c>
      <c r="R25" s="33">
        <v>3.55</v>
      </c>
      <c r="S25" s="33">
        <v>3.9</v>
      </c>
      <c r="T25" s="33" t="s">
        <v>61</v>
      </c>
      <c r="U25" s="14">
        <v>1</v>
      </c>
      <c r="V25" s="15">
        <v>2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e">
        <f t="shared" si="1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2.0099999999999998</v>
      </c>
      <c r="AW25" s="15">
        <v>0.3206</v>
      </c>
      <c r="AX25" s="15">
        <v>3</v>
      </c>
      <c r="AY25" s="15">
        <v>0.15459999999999999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0.17399999999999999</v>
      </c>
      <c r="BL25" s="9"/>
    </row>
    <row r="26" spans="1:64" ht="17.25" customHeight="1" x14ac:dyDescent="0.2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0"/>
        <v>42.212740018287107</v>
      </c>
      <c r="G26" s="3">
        <v>17.8</v>
      </c>
      <c r="H26" s="35">
        <v>0</v>
      </c>
      <c r="I26" s="35">
        <v>0</v>
      </c>
      <c r="K26" s="35">
        <v>633.47</v>
      </c>
      <c r="L26" s="5" t="s">
        <v>60</v>
      </c>
      <c r="M26" s="3">
        <v>9.1679999999999993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2.4500000000000002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e">
        <f t="shared" si="1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ht="17.25" customHeight="1" x14ac:dyDescent="0.2">
      <c r="A27" s="12" t="s">
        <v>57</v>
      </c>
      <c r="B27" s="12" t="s">
        <v>64</v>
      </c>
      <c r="C27" s="12">
        <v>2367</v>
      </c>
      <c r="D27" s="12" t="s">
        <v>62</v>
      </c>
      <c r="E27" s="12">
        <v>142</v>
      </c>
      <c r="F27" s="3">
        <f t="shared" si="0"/>
        <v>43.279487960987503</v>
      </c>
      <c r="G27" s="3">
        <v>28.4</v>
      </c>
      <c r="H27" s="35">
        <v>0</v>
      </c>
      <c r="I27" s="35">
        <v>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</v>
      </c>
      <c r="V27" s="15">
        <v>1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e">
        <f t="shared" si="1"/>
        <v>#DIV/0!</v>
      </c>
      <c r="AL27" s="11"/>
      <c r="AM27" s="9"/>
      <c r="AN27" s="9"/>
      <c r="AO27" s="14">
        <v>1.49</v>
      </c>
      <c r="AP27" s="15">
        <v>1.4830000000000001</v>
      </c>
      <c r="AQ27" s="9"/>
      <c r="AR27" s="9"/>
      <c r="AS27" s="9"/>
      <c r="AT27" s="9"/>
      <c r="AU27" s="9"/>
      <c r="AV27" s="15">
        <v>2.1989999999999998</v>
      </c>
      <c r="AW27" s="15">
        <v>5.3600000000000002E-2</v>
      </c>
      <c r="AX27" s="15">
        <v>2.3050000000000002</v>
      </c>
      <c r="AY27" s="15">
        <v>3.6200000000000003E-2</v>
      </c>
      <c r="AZ27" s="15">
        <v>2.2400000000000002</v>
      </c>
      <c r="BA27" s="15">
        <v>2.06E-2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0.50309999999999999</v>
      </c>
      <c r="BL27" s="9"/>
    </row>
    <row r="28" spans="1:64" ht="17.25" customHeight="1" x14ac:dyDescent="0.2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</v>
      </c>
      <c r="F28" s="3">
        <f t="shared" si="0"/>
        <v>43.88905821395916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e">
        <f t="shared" si="1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ht="17.25" customHeight="1" x14ac:dyDescent="0.2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</v>
      </c>
      <c r="F29" s="3">
        <f t="shared" si="0"/>
        <v>46.632124352331601</v>
      </c>
      <c r="G29" s="3">
        <v>28.3</v>
      </c>
      <c r="H29" s="37">
        <v>59.2</v>
      </c>
      <c r="I29" s="37">
        <v>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e">
        <f t="shared" si="1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ht="17.25" customHeight="1" x14ac:dyDescent="0.2">
      <c r="A30" s="12" t="s">
        <v>57</v>
      </c>
      <c r="B30" s="12" t="s">
        <v>64</v>
      </c>
      <c r="C30" s="12">
        <v>2369</v>
      </c>
      <c r="D30" s="12" t="s">
        <v>59</v>
      </c>
      <c r="E30" s="12">
        <v>156.5</v>
      </c>
      <c r="F30" s="3">
        <f t="shared" si="0"/>
        <v>47.698872295032004</v>
      </c>
      <c r="G30" s="3">
        <v>21.8</v>
      </c>
      <c r="H30" s="35">
        <v>20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</v>
      </c>
      <c r="R30" s="33">
        <v>4</v>
      </c>
      <c r="T30" s="33" t="s">
        <v>61</v>
      </c>
      <c r="U30" s="14">
        <v>2</v>
      </c>
      <c r="V30" s="15">
        <v>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e">
        <f t="shared" si="1"/>
        <v>#DIV/0!</v>
      </c>
      <c r="AL30" s="11"/>
      <c r="AM30" s="9"/>
      <c r="AN30" s="9"/>
      <c r="AO30" s="14">
        <v>1.46</v>
      </c>
      <c r="AP30" s="15">
        <v>1.4410000000000001</v>
      </c>
      <c r="AQ30" s="9"/>
      <c r="AR30" s="9"/>
      <c r="AS30" s="9"/>
      <c r="AT30" s="9"/>
      <c r="AU30" s="9"/>
      <c r="AV30" s="15">
        <v>1.472</v>
      </c>
      <c r="AW30" s="15">
        <v>5.79E-2</v>
      </c>
      <c r="AX30" s="15">
        <v>2.41</v>
      </c>
      <c r="AY30" s="15">
        <v>0.19359999999999999</v>
      </c>
      <c r="AZ30" s="15">
        <v>2.0649999999999999</v>
      </c>
      <c r="BA30" s="15">
        <v>0.1857</v>
      </c>
      <c r="BB30" s="15">
        <v>2.86</v>
      </c>
      <c r="BC30" s="15">
        <v>0.37140000000000001</v>
      </c>
      <c r="BD30" s="15">
        <v>2.1560000000000001</v>
      </c>
      <c r="BE30" s="15">
        <v>0.1188</v>
      </c>
      <c r="BF30" s="15">
        <v>2.3959999999999999</v>
      </c>
      <c r="BG30" s="15">
        <v>0.13980000000000001</v>
      </c>
      <c r="BH30" s="9"/>
      <c r="BI30" s="9"/>
      <c r="BJ30" s="9"/>
      <c r="BK30" s="15">
        <v>1.0268999999999999</v>
      </c>
      <c r="BL30" s="9"/>
    </row>
    <row r="31" spans="1:64" ht="17.25" customHeight="1" x14ac:dyDescent="0.2">
      <c r="A31" s="38" t="s">
        <v>70</v>
      </c>
      <c r="B31" s="38" t="s">
        <v>58</v>
      </c>
      <c r="C31" s="38">
        <v>2376</v>
      </c>
      <c r="D31" s="12"/>
      <c r="E31" s="2"/>
      <c r="F31" s="3"/>
      <c r="G31" s="39">
        <v>56.7</v>
      </c>
      <c r="H31" s="40">
        <v>0</v>
      </c>
      <c r="I31" s="40">
        <v>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1"/>
        <v>1.6916666666666667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2.2309999999999999</v>
      </c>
      <c r="AW31" s="15">
        <v>0.3211</v>
      </c>
      <c r="AX31" s="15">
        <v>2.0169999999999999</v>
      </c>
      <c r="AY31" s="15">
        <v>0.39910000000000001</v>
      </c>
      <c r="AZ31" s="15">
        <v>4.306</v>
      </c>
      <c r="BA31" s="15">
        <v>0.32229999999999998</v>
      </c>
      <c r="BB31" s="15">
        <v>2.8359999999999999</v>
      </c>
      <c r="BC31" s="15">
        <v>0.55889999999999995</v>
      </c>
      <c r="BD31" s="15">
        <v>2.2040000000000002</v>
      </c>
      <c r="BE31" s="15">
        <v>0.22489999999999999</v>
      </c>
      <c r="BF31" s="15"/>
      <c r="BG31" s="15"/>
      <c r="BH31" s="15"/>
      <c r="BI31" s="15"/>
      <c r="BJ31" s="15"/>
      <c r="BK31" s="15">
        <v>1.8261000000000001</v>
      </c>
      <c r="BL31" s="15"/>
    </row>
    <row r="32" spans="1:64" ht="17.25" customHeight="1" x14ac:dyDescent="0.2">
      <c r="A32" s="38" t="s">
        <v>70</v>
      </c>
      <c r="B32" s="38" t="s">
        <v>58</v>
      </c>
      <c r="C32" s="38">
        <v>2377</v>
      </c>
      <c r="D32" s="12"/>
      <c r="E32" s="2"/>
      <c r="F32" s="3"/>
      <c r="G32" s="39">
        <v>66.599999999999994</v>
      </c>
      <c r="H32" s="40">
        <v>0</v>
      </c>
      <c r="I32" s="40">
        <v>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2.1800000000000002</v>
      </c>
      <c r="AE32" s="15">
        <v>2.71</v>
      </c>
      <c r="AF32" s="15">
        <v>1.7</v>
      </c>
      <c r="AG32" s="15">
        <v>1.64</v>
      </c>
      <c r="AH32" s="15">
        <v>2.5099999999999998</v>
      </c>
      <c r="AI32" s="15">
        <v>2.1</v>
      </c>
      <c r="AJ32" s="9"/>
      <c r="AK32" s="9">
        <f t="shared" si="1"/>
        <v>2.14</v>
      </c>
      <c r="AL32" s="16" t="s">
        <v>72</v>
      </c>
      <c r="AM32" s="15"/>
      <c r="AN32" s="15"/>
      <c r="AO32" s="14">
        <v>0.35299999999999998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0.53879999999999995</v>
      </c>
      <c r="AZ32" s="15">
        <v>3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0.26140000000000002</v>
      </c>
      <c r="BF32" s="15">
        <v>2.75</v>
      </c>
      <c r="BG32" s="15">
        <v>0.21060000000000001</v>
      </c>
      <c r="BH32" s="15"/>
      <c r="BI32" s="15"/>
      <c r="BJ32" s="15"/>
      <c r="BK32" s="15">
        <v>0.37019999999999997</v>
      </c>
      <c r="BL32" s="15" t="s">
        <v>73</v>
      </c>
    </row>
    <row r="33" spans="1:64" ht="17.25" customHeight="1" x14ac:dyDescent="0.2">
      <c r="A33" s="38" t="s">
        <v>70</v>
      </c>
      <c r="B33" s="38" t="s">
        <v>64</v>
      </c>
      <c r="C33" s="38">
        <v>2378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</v>
      </c>
      <c r="V33" s="15">
        <v>6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e">
        <f t="shared" si="1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0.15329999999999999</v>
      </c>
      <c r="AX33" s="15">
        <v>2</v>
      </c>
      <c r="AY33" s="15">
        <v>0.17849999999999999</v>
      </c>
      <c r="AZ33" s="15">
        <v>1.8</v>
      </c>
      <c r="BA33" s="15">
        <v>0.1671</v>
      </c>
      <c r="BB33" s="15">
        <v>1.5</v>
      </c>
      <c r="BC33" s="15">
        <v>0.16900000000000001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spans="1:64" ht="17.25" customHeight="1" x14ac:dyDescent="0.2">
      <c r="A34" s="38" t="s">
        <v>70</v>
      </c>
      <c r="B34" s="38" t="s">
        <v>64</v>
      </c>
      <c r="C34" s="38">
        <v>2379</v>
      </c>
      <c r="D34" s="12"/>
      <c r="E34" s="2"/>
      <c r="F34" s="3"/>
      <c r="G34" s="39">
        <v>33.5</v>
      </c>
      <c r="H34" s="40">
        <v>27.3</v>
      </c>
      <c r="I34" s="40">
        <v>18.899999999999999</v>
      </c>
      <c r="K34" s="31"/>
      <c r="L34" s="5"/>
      <c r="M34" s="3"/>
      <c r="N34" s="32"/>
      <c r="O34" s="32"/>
      <c r="U34" s="14">
        <v>0</v>
      </c>
      <c r="V34" s="15">
        <v>7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e">
        <f t="shared" si="1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spans="1:64" ht="17.25" customHeight="1" x14ac:dyDescent="0.2">
      <c r="A35" s="38" t="s">
        <v>70</v>
      </c>
      <c r="B35" s="38" t="s">
        <v>58</v>
      </c>
      <c r="C35" s="38">
        <v>2380</v>
      </c>
      <c r="D35" s="12"/>
      <c r="E35" s="2"/>
      <c r="F35" s="3"/>
      <c r="G35" s="39">
        <v>65.400000000000006</v>
      </c>
      <c r="H35" s="40">
        <v>50</v>
      </c>
      <c r="I35" s="40">
        <v>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1"/>
        <v>1.8649999999999998</v>
      </c>
      <c r="AL35" s="11"/>
      <c r="AM35" s="9"/>
      <c r="AN35" s="9"/>
      <c r="AO35" s="14">
        <v>0.54900000000000004</v>
      </c>
      <c r="AP35" s="15">
        <v>0.54900000000000004</v>
      </c>
      <c r="AQ35" s="15">
        <v>0.49</v>
      </c>
      <c r="AR35" s="15">
        <v>1.0309999999999999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0.30649999999999999</v>
      </c>
      <c r="AZ35" s="15">
        <v>2.87</v>
      </c>
      <c r="BA35" s="15">
        <v>0.14130000000000001</v>
      </c>
      <c r="BB35" s="15">
        <v>3.1389999999999998</v>
      </c>
      <c r="BC35" s="15">
        <v>0.21160000000000001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spans="1:64" ht="17.25" customHeight="1" x14ac:dyDescent="0.2">
      <c r="A36" s="12" t="s">
        <v>74</v>
      </c>
      <c r="B36" s="12" t="s">
        <v>64</v>
      </c>
      <c r="C36" s="12">
        <v>2337</v>
      </c>
      <c r="D36" s="12" t="s">
        <v>62</v>
      </c>
      <c r="E36" s="2">
        <v>10</v>
      </c>
      <c r="F36" s="3">
        <f t="shared" ref="F36:F52" si="2">E36/3.281</f>
        <v>3.047851264858275</v>
      </c>
      <c r="G36" s="4">
        <v>26.3</v>
      </c>
      <c r="H36" s="31">
        <v>0</v>
      </c>
      <c r="I36" s="31">
        <v>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e">
        <f t="shared" si="1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ht="17.25" customHeight="1" x14ac:dyDescent="0.2">
      <c r="A37" s="12" t="s">
        <v>74</v>
      </c>
      <c r="B37" s="12" t="s">
        <v>64</v>
      </c>
      <c r="C37" s="12">
        <v>2338</v>
      </c>
      <c r="D37" s="12" t="s">
        <v>59</v>
      </c>
      <c r="E37" s="2">
        <v>11.3</v>
      </c>
      <c r="F37" s="3">
        <f t="shared" si="2"/>
        <v>3.4440719292898505</v>
      </c>
      <c r="G37" s="4">
        <v>34.6</v>
      </c>
      <c r="H37" s="31">
        <v>0</v>
      </c>
      <c r="I37" s="31">
        <v>0</v>
      </c>
      <c r="K37" s="31">
        <v>1352.65</v>
      </c>
      <c r="L37" s="5" t="s">
        <v>60</v>
      </c>
      <c r="M37" s="3">
        <v>12.904999999999999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e">
        <f t="shared" si="1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spans="1:64" ht="17.25" customHeight="1" x14ac:dyDescent="0.2">
      <c r="A38" s="12" t="s">
        <v>74</v>
      </c>
      <c r="B38" s="12" t="s">
        <v>64</v>
      </c>
      <c r="C38" s="12">
        <v>2339</v>
      </c>
      <c r="D38" s="12" t="s">
        <v>62</v>
      </c>
      <c r="E38" s="2">
        <v>15.5</v>
      </c>
      <c r="F38" s="3">
        <f t="shared" si="2"/>
        <v>4.7241694605303257</v>
      </c>
      <c r="G38" s="4">
        <v>24.7</v>
      </c>
      <c r="H38" s="31">
        <v>0</v>
      </c>
      <c r="I38" s="31">
        <v>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e">
        <f t="shared" si="1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ht="17.25" customHeight="1" x14ac:dyDescent="0.2">
      <c r="A39" s="12" t="s">
        <v>74</v>
      </c>
      <c r="B39" s="12" t="s">
        <v>64</v>
      </c>
      <c r="C39" s="12">
        <v>2340</v>
      </c>
      <c r="D39" s="12" t="s">
        <v>62</v>
      </c>
      <c r="E39" s="2">
        <v>18</v>
      </c>
      <c r="F39" s="3">
        <f t="shared" si="2"/>
        <v>5.486132276744895</v>
      </c>
      <c r="G39" s="4">
        <v>32.299999999999997</v>
      </c>
      <c r="H39" s="31">
        <v>0</v>
      </c>
      <c r="I39" s="31">
        <v>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e">
        <f t="shared" si="1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ht="17.25" customHeight="1" x14ac:dyDescent="0.2">
      <c r="A40" s="12" t="s">
        <v>74</v>
      </c>
      <c r="B40" s="12" t="s">
        <v>64</v>
      </c>
      <c r="C40" s="12">
        <v>2341</v>
      </c>
      <c r="D40" s="12" t="s">
        <v>59</v>
      </c>
      <c r="E40" s="2">
        <v>19</v>
      </c>
      <c r="F40" s="3">
        <f t="shared" si="2"/>
        <v>5.790917403230722</v>
      </c>
      <c r="G40" s="4">
        <v>41.8</v>
      </c>
      <c r="H40" s="31">
        <v>0</v>
      </c>
      <c r="I40" s="31">
        <v>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e">
        <f t="shared" si="1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ht="17.25" customHeight="1" x14ac:dyDescent="0.2">
      <c r="A41" s="12" t="s">
        <v>74</v>
      </c>
      <c r="B41" s="12" t="s">
        <v>64</v>
      </c>
      <c r="C41" s="12">
        <v>2342</v>
      </c>
      <c r="D41" s="12" t="s">
        <v>62</v>
      </c>
      <c r="E41" s="2">
        <v>24.5</v>
      </c>
      <c r="F41" s="3">
        <f t="shared" si="2"/>
        <v>7.4672355989027732</v>
      </c>
      <c r="G41" s="4">
        <v>22.9</v>
      </c>
      <c r="H41" s="31">
        <v>28.6</v>
      </c>
      <c r="I41" s="31">
        <v>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e">
        <f t="shared" si="1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spans="1:64" ht="17.25" customHeight="1" x14ac:dyDescent="0.2">
      <c r="A42" s="12" t="s">
        <v>74</v>
      </c>
      <c r="B42" s="12" t="s">
        <v>64</v>
      </c>
      <c r="C42" s="12">
        <v>2343</v>
      </c>
      <c r="D42" s="12" t="s">
        <v>59</v>
      </c>
      <c r="E42" s="2">
        <v>64</v>
      </c>
      <c r="F42" s="3">
        <f t="shared" si="2"/>
        <v>19.506248095092957</v>
      </c>
      <c r="G42" s="4">
        <v>65.7</v>
      </c>
      <c r="H42" s="31">
        <v>19</v>
      </c>
      <c r="I42" s="31">
        <v>0</v>
      </c>
      <c r="K42" s="31">
        <v>985.68</v>
      </c>
      <c r="L42" s="5">
        <v>39.799999999999997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</v>
      </c>
      <c r="V42" s="15">
        <v>2</v>
      </c>
      <c r="W42" s="15">
        <v>1.2</v>
      </c>
      <c r="X42" s="15">
        <v>1.1000000000000001</v>
      </c>
      <c r="Y42" s="15">
        <v>1.1000000000000001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e">
        <f t="shared" si="1"/>
        <v>#DIV/0!</v>
      </c>
      <c r="AL42" s="16" t="s">
        <v>77</v>
      </c>
      <c r="AM42" s="15"/>
      <c r="AN42" s="15"/>
      <c r="AO42" s="14">
        <v>1.1599999999999999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spans="1:64" ht="17.25" customHeight="1" x14ac:dyDescent="0.2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</v>
      </c>
      <c r="F43" s="43">
        <f t="shared" si="2"/>
        <v>19.811033221578786</v>
      </c>
      <c r="G43" s="44">
        <v>64.8</v>
      </c>
      <c r="H43" s="45">
        <v>0</v>
      </c>
      <c r="I43" s="45">
        <v>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e">
        <f t="shared" si="1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ht="17.25" customHeight="1" x14ac:dyDescent="0.2">
      <c r="A44" s="12" t="s">
        <v>74</v>
      </c>
      <c r="B44" s="12" t="s">
        <v>64</v>
      </c>
      <c r="C44" s="12">
        <v>2344</v>
      </c>
      <c r="D44" s="12" t="s">
        <v>59</v>
      </c>
      <c r="E44" s="2">
        <v>76</v>
      </c>
      <c r="F44" s="3">
        <f t="shared" si="2"/>
        <v>23.163669612922888</v>
      </c>
      <c r="G44" s="4">
        <v>52.5</v>
      </c>
      <c r="H44" s="31">
        <v>0</v>
      </c>
      <c r="I44" s="31">
        <v>0</v>
      </c>
      <c r="K44" s="31">
        <v>467.59</v>
      </c>
      <c r="L44" s="5">
        <v>27.5</v>
      </c>
      <c r="M44" s="3">
        <v>8.5399999999999991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1.1399999999999999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e">
        <f t="shared" si="1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ht="17.25" customHeight="1" x14ac:dyDescent="0.2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</v>
      </c>
      <c r="F45" s="43">
        <f t="shared" si="2"/>
        <v>23.773239865894542</v>
      </c>
      <c r="G45" s="44">
        <v>31.4</v>
      </c>
      <c r="H45" s="45">
        <v>0</v>
      </c>
      <c r="I45" s="45">
        <v>0</v>
      </c>
      <c r="K45" s="45">
        <v>2164.75</v>
      </c>
      <c r="L45" s="46">
        <v>55.6</v>
      </c>
      <c r="M45" s="43">
        <v>12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e">
        <f t="shared" si="1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spans="1:64" ht="17.25" customHeight="1" x14ac:dyDescent="0.2">
      <c r="A46" s="12" t="s">
        <v>74</v>
      </c>
      <c r="B46" s="12" t="s">
        <v>58</v>
      </c>
      <c r="C46" s="34">
        <v>2345</v>
      </c>
      <c r="D46" s="12" t="s">
        <v>62</v>
      </c>
      <c r="E46" s="2">
        <v>85</v>
      </c>
      <c r="F46" s="3">
        <f t="shared" si="2"/>
        <v>25.906735751295336</v>
      </c>
      <c r="G46" s="4">
        <v>57.6</v>
      </c>
      <c r="H46" s="31">
        <v>58</v>
      </c>
      <c r="I46" s="31">
        <v>0</v>
      </c>
      <c r="K46" s="31">
        <v>3390.16</v>
      </c>
      <c r="L46" s="5">
        <v>70.7</v>
      </c>
      <c r="M46" s="3">
        <v>18.239999999999998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0.56399999999999995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1"/>
        <v>1.63</v>
      </c>
      <c r="AL46" s="11"/>
      <c r="AM46" s="9"/>
      <c r="AN46" s="9"/>
      <c r="AO46" s="14">
        <v>0.255</v>
      </c>
      <c r="AP46" s="15">
        <v>0.40699999999999997</v>
      </c>
      <c r="AQ46" s="15">
        <v>0.24299999999999999</v>
      </c>
      <c r="AR46" s="9"/>
      <c r="AS46" s="9"/>
      <c r="AT46" s="9"/>
      <c r="AU46" s="9"/>
      <c r="AV46" s="15">
        <v>1.0529999999999999</v>
      </c>
      <c r="AW46" s="15">
        <v>0.27493000000000001</v>
      </c>
      <c r="AX46" s="15">
        <v>1.6180000000000001</v>
      </c>
      <c r="AY46" s="15">
        <v>0.28510000000000002</v>
      </c>
      <c r="AZ46" s="15">
        <v>1.4</v>
      </c>
      <c r="BA46" s="15">
        <v>0.3105</v>
      </c>
      <c r="BB46" s="15">
        <v>1.02</v>
      </c>
      <c r="BC46" s="15">
        <v>0.23380000000000001</v>
      </c>
      <c r="BD46" s="15">
        <v>1.4930000000000001</v>
      </c>
      <c r="BE46" s="15">
        <v>0.19839999999999999</v>
      </c>
      <c r="BF46" s="15">
        <v>1.53</v>
      </c>
      <c r="BG46" s="15">
        <v>0.18060000000000001</v>
      </c>
      <c r="BH46" s="9"/>
      <c r="BI46" s="9"/>
      <c r="BJ46" s="9"/>
      <c r="BK46" s="9"/>
      <c r="BL46" s="9"/>
    </row>
    <row r="47" spans="1:64" ht="17.25" customHeight="1" x14ac:dyDescent="0.2">
      <c r="A47" s="12" t="s">
        <v>74</v>
      </c>
      <c r="B47" s="12" t="s">
        <v>64</v>
      </c>
      <c r="C47" s="12">
        <v>2346</v>
      </c>
      <c r="D47" s="12" t="s">
        <v>59</v>
      </c>
      <c r="E47" s="2">
        <v>115</v>
      </c>
      <c r="F47" s="3">
        <f t="shared" si="2"/>
        <v>35.050289545870157</v>
      </c>
      <c r="G47" s="4">
        <v>24.4</v>
      </c>
      <c r="H47" s="31">
        <v>0</v>
      </c>
      <c r="I47" s="31">
        <v>0</v>
      </c>
      <c r="K47" s="31">
        <v>1372.28</v>
      </c>
      <c r="L47" s="5">
        <v>45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</v>
      </c>
      <c r="V47" s="15">
        <v>0</v>
      </c>
      <c r="W47" s="9">
        <f>AVERAGE(0.96,1.3)</f>
        <v>1.1299999999999999</v>
      </c>
      <c r="X47" s="9">
        <f>AVERAGE(0.78,1.09)</f>
        <v>0.93500000000000005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e">
        <f t="shared" si="1"/>
        <v>#DIV/0!</v>
      </c>
      <c r="AL47" s="16" t="s">
        <v>82</v>
      </c>
      <c r="AM47" s="15"/>
      <c r="AN47" s="15"/>
      <c r="AO47" s="14">
        <v>1.1599999999999999</v>
      </c>
      <c r="AP47" s="15">
        <v>1.3320000000000001</v>
      </c>
      <c r="AQ47" s="15">
        <v>1.18</v>
      </c>
      <c r="AR47" s="15"/>
      <c r="AS47" s="15"/>
      <c r="AT47" s="15"/>
      <c r="AU47" s="15"/>
      <c r="AV47" s="15">
        <v>2.23</v>
      </c>
      <c r="AW47" s="15">
        <v>7.2900000000000006E-2</v>
      </c>
      <c r="AX47" s="15">
        <v>2.2599999999999998</v>
      </c>
      <c r="AY47" s="15">
        <v>0.14380000000000001</v>
      </c>
      <c r="AZ47" s="15">
        <v>2.4089999999999998</v>
      </c>
      <c r="BA47" s="15">
        <v>7.8100000000000003E-2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0.72440000000000004</v>
      </c>
      <c r="BL47" s="15"/>
    </row>
    <row r="48" spans="1:64" ht="17.25" customHeight="1" x14ac:dyDescent="0.2">
      <c r="A48" s="12" t="s">
        <v>74</v>
      </c>
      <c r="B48" s="12" t="s">
        <v>64</v>
      </c>
      <c r="C48" s="12">
        <v>2347</v>
      </c>
      <c r="D48" s="12" t="s">
        <v>62</v>
      </c>
      <c r="E48" s="2">
        <v>126</v>
      </c>
      <c r="F48" s="3">
        <f t="shared" si="2"/>
        <v>38.402925937214263</v>
      </c>
      <c r="G48" s="4">
        <v>33.4</v>
      </c>
      <c r="H48" s="31">
        <v>0</v>
      </c>
      <c r="I48" s="31">
        <v>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</v>
      </c>
      <c r="V48" s="15">
        <v>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1.4649999999999999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e">
        <f t="shared" si="1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0.26929999999999998</v>
      </c>
      <c r="AX48" s="15">
        <v>1.984</v>
      </c>
      <c r="AY48" s="15">
        <v>0.23499999999999999</v>
      </c>
      <c r="AZ48" s="15">
        <v>1.9410000000000001</v>
      </c>
      <c r="BA48" s="15">
        <v>0.183</v>
      </c>
      <c r="BB48" s="15">
        <v>1.9219999999999999</v>
      </c>
      <c r="BC48" s="15">
        <v>0.19120000000000001</v>
      </c>
      <c r="BD48" s="15"/>
      <c r="BE48" s="15"/>
      <c r="BF48" s="15"/>
      <c r="BG48" s="15"/>
      <c r="BH48" s="15"/>
      <c r="BI48" s="15"/>
      <c r="BJ48" s="15"/>
      <c r="BK48" s="15">
        <v>0.57189999999999996</v>
      </c>
      <c r="BL48" s="15"/>
    </row>
    <row r="49" spans="1:64" ht="17.25" customHeight="1" x14ac:dyDescent="0.2">
      <c r="A49" s="12" t="s">
        <v>74</v>
      </c>
      <c r="B49" s="12" t="s">
        <v>64</v>
      </c>
      <c r="C49" s="12">
        <v>2348</v>
      </c>
      <c r="D49" s="12" t="s">
        <v>62</v>
      </c>
      <c r="E49" s="2">
        <v>130.30000000000001</v>
      </c>
      <c r="F49" s="3">
        <f t="shared" si="2"/>
        <v>39.713501981103327</v>
      </c>
      <c r="G49" s="4">
        <v>41.5</v>
      </c>
      <c r="H49" s="31">
        <v>0</v>
      </c>
      <c r="I49" s="31">
        <v>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</v>
      </c>
      <c r="V49" s="15">
        <v>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e">
        <f t="shared" si="1"/>
        <v>#DIV/0!</v>
      </c>
      <c r="AL49" s="11"/>
      <c r="AM49" s="9"/>
      <c r="AN49" s="9"/>
      <c r="AO49" s="14">
        <v>1.97</v>
      </c>
      <c r="AP49" s="15">
        <v>2.36</v>
      </c>
      <c r="AQ49" s="15">
        <v>2.1800000000000002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spans="1:64" ht="17.25" customHeight="1" x14ac:dyDescent="0.2">
      <c r="A50" s="12" t="s">
        <v>74</v>
      </c>
      <c r="B50" s="12" t="s">
        <v>64</v>
      </c>
      <c r="C50" s="12">
        <v>2349</v>
      </c>
      <c r="D50" s="12" t="s">
        <v>59</v>
      </c>
      <c r="E50" s="2">
        <v>142</v>
      </c>
      <c r="F50" s="3">
        <f t="shared" si="2"/>
        <v>43.279487960987503</v>
      </c>
      <c r="G50" s="4">
        <v>29.9</v>
      </c>
      <c r="H50" s="31">
        <v>16.600000000000001</v>
      </c>
      <c r="I50" s="31">
        <v>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</v>
      </c>
      <c r="V50" s="15">
        <v>0</v>
      </c>
      <c r="W50" s="15">
        <v>1.64</v>
      </c>
      <c r="X50" s="15">
        <v>1.6</v>
      </c>
      <c r="Y50" s="15">
        <v>2.2000000000000002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e">
        <f t="shared" si="1"/>
        <v>#DIV/0!</v>
      </c>
      <c r="AL50" s="16" t="s">
        <v>85</v>
      </c>
      <c r="AM50" s="15"/>
      <c r="AN50" s="15"/>
      <c r="AO50" s="14">
        <v>2.57</v>
      </c>
      <c r="AP50" s="15">
        <v>2.2170000000000001</v>
      </c>
      <c r="AQ50" s="15">
        <v>2.5129999999999999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spans="1:64" ht="17.25" customHeight="1" x14ac:dyDescent="0.2">
      <c r="A51" s="12" t="s">
        <v>74</v>
      </c>
      <c r="B51" s="12" t="s">
        <v>64</v>
      </c>
      <c r="C51" s="12">
        <v>2350</v>
      </c>
      <c r="D51" s="12" t="s">
        <v>59</v>
      </c>
      <c r="E51" s="2">
        <v>154.1</v>
      </c>
      <c r="F51" s="3">
        <f t="shared" si="2"/>
        <v>46.967387991466012</v>
      </c>
      <c r="G51" s="4">
        <v>42.5</v>
      </c>
      <c r="H51" s="31">
        <v>0</v>
      </c>
      <c r="I51" s="31">
        <v>0</v>
      </c>
      <c r="K51" s="31">
        <f>((G51/2)^2)*PI()</f>
        <v>1418.6254326366409</v>
      </c>
      <c r="L51" s="5" t="s">
        <v>60</v>
      </c>
      <c r="M51" s="49">
        <v>8.7200000000000006</v>
      </c>
      <c r="N51" s="32">
        <v>0.2</v>
      </c>
      <c r="O51" s="12" t="s">
        <v>87</v>
      </c>
      <c r="P51" s="12"/>
      <c r="T51" s="33" t="s">
        <v>75</v>
      </c>
      <c r="U51" s="14">
        <v>1</v>
      </c>
      <c r="V51" s="15">
        <v>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e">
        <f t="shared" si="1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ht="17.25" customHeight="1" x14ac:dyDescent="0.2">
      <c r="A52" s="12" t="s">
        <v>74</v>
      </c>
      <c r="B52" s="12" t="s">
        <v>64</v>
      </c>
      <c r="C52" s="12">
        <v>2351</v>
      </c>
      <c r="D52" s="12" t="s">
        <v>62</v>
      </c>
      <c r="E52" s="2">
        <v>163</v>
      </c>
      <c r="F52" s="3">
        <f t="shared" si="2"/>
        <v>49.679975617189882</v>
      </c>
      <c r="G52" s="4">
        <v>26.4</v>
      </c>
      <c r="H52" s="31">
        <v>25.5</v>
      </c>
      <c r="I52" s="31">
        <v>0</v>
      </c>
      <c r="K52" s="31">
        <f>(((H52/2)^2)*PI())+(((G52/2)^2)*PI())</f>
        <v>1058.0962597106761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</v>
      </c>
      <c r="V52" s="15">
        <v>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e">
        <f t="shared" si="1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spans="1:64" ht="15.75" customHeight="1" x14ac:dyDescent="0.2">
      <c r="A53" s="38" t="s">
        <v>88</v>
      </c>
      <c r="B53" s="38" t="s">
        <v>64</v>
      </c>
      <c r="C53" s="38">
        <v>2375</v>
      </c>
      <c r="D53" s="12"/>
      <c r="E53" s="2"/>
      <c r="F53" s="3"/>
      <c r="G53" s="39">
        <v>45.8</v>
      </c>
      <c r="H53" s="40">
        <v>0</v>
      </c>
      <c r="I53" s="40">
        <v>0</v>
      </c>
      <c r="K53" s="31"/>
      <c r="L53" s="5"/>
      <c r="M53" s="3"/>
      <c r="N53" s="32"/>
      <c r="O53" s="32"/>
      <c r="U53" s="14">
        <v>1</v>
      </c>
      <c r="V53" s="15">
        <v>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spans="1:64" ht="15.75" customHeight="1" x14ac:dyDescent="0.2">
      <c r="A54" s="12" t="s">
        <v>90</v>
      </c>
      <c r="B54" s="12" t="s">
        <v>64</v>
      </c>
      <c r="C54" s="12">
        <v>2310</v>
      </c>
      <c r="D54" s="12" t="s">
        <v>62</v>
      </c>
      <c r="E54" s="2">
        <f>F54*3.281</f>
        <v>7.4</v>
      </c>
      <c r="F54" s="3">
        <v>2.2554099359951234</v>
      </c>
      <c r="G54" s="4">
        <v>35.700000000000003</v>
      </c>
      <c r="H54" s="31">
        <v>0</v>
      </c>
      <c r="I54" s="31">
        <v>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e">
        <f t="shared" ref="AK54:AK90" si="3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ht="17.25" customHeight="1" x14ac:dyDescent="0.2">
      <c r="A55" s="12" t="s">
        <v>90</v>
      </c>
      <c r="B55" s="12" t="s">
        <v>64</v>
      </c>
      <c r="C55" s="12">
        <v>2311</v>
      </c>
      <c r="D55" s="12" t="s">
        <v>59</v>
      </c>
      <c r="E55" s="2">
        <v>8.3000000000000007</v>
      </c>
      <c r="F55" s="3">
        <f t="shared" ref="F55:F59" si="4">E55/3.281</f>
        <v>2.5297165498323682</v>
      </c>
      <c r="G55" s="4">
        <v>17.8</v>
      </c>
      <c r="H55" s="31">
        <v>0</v>
      </c>
      <c r="I55" s="31">
        <v>0</v>
      </c>
      <c r="K55" s="31">
        <v>248.85</v>
      </c>
      <c r="L55" s="5" t="s">
        <v>60</v>
      </c>
      <c r="M55" s="3">
        <v>3.5680000000000001</v>
      </c>
      <c r="N55" s="32">
        <v>0.7</v>
      </c>
      <c r="O55" s="32">
        <v>0.5</v>
      </c>
      <c r="Q55" s="33">
        <v>4.3</v>
      </c>
      <c r="R55" s="33">
        <v>3.8</v>
      </c>
      <c r="S55" s="33">
        <v>4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e">
        <f t="shared" si="3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ht="17.25" customHeight="1" x14ac:dyDescent="0.2">
      <c r="A56" s="12" t="s">
        <v>90</v>
      </c>
      <c r="B56" s="12" t="s">
        <v>64</v>
      </c>
      <c r="C56" s="12">
        <v>2312</v>
      </c>
      <c r="D56" s="12" t="s">
        <v>59</v>
      </c>
      <c r="E56" s="2">
        <v>8.5</v>
      </c>
      <c r="F56" s="3">
        <f t="shared" si="4"/>
        <v>2.5906735751295336</v>
      </c>
      <c r="G56" s="4">
        <v>16.5</v>
      </c>
      <c r="H56" s="31">
        <v>0</v>
      </c>
      <c r="I56" s="31">
        <v>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e">
        <f t="shared" si="3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spans="1:64" ht="17.25" customHeight="1" x14ac:dyDescent="0.2">
      <c r="A57" s="12" t="s">
        <v>90</v>
      </c>
      <c r="B57" s="12" t="s">
        <v>64</v>
      </c>
      <c r="C57" s="12">
        <v>2313</v>
      </c>
      <c r="D57" s="12" t="s">
        <v>62</v>
      </c>
      <c r="E57" s="2">
        <v>10.9</v>
      </c>
      <c r="F57" s="3">
        <f t="shared" si="4"/>
        <v>3.3221578786955197</v>
      </c>
      <c r="G57" s="4">
        <v>31.5</v>
      </c>
      <c r="H57" s="31">
        <v>0</v>
      </c>
      <c r="I57" s="31">
        <v>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1.1399999999999999</v>
      </c>
      <c r="X57" s="9">
        <f>AVERAGE(1.02,1.55)</f>
        <v>1.2850000000000001</v>
      </c>
      <c r="Y57" s="9">
        <f>AVERAGE(1.57,1.44)</f>
        <v>1.5049999999999999</v>
      </c>
      <c r="Z57" s="15">
        <v>1.1200000000000001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e">
        <f t="shared" si="3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ht="17.25" customHeight="1" x14ac:dyDescent="0.2">
      <c r="A58" s="12" t="s">
        <v>90</v>
      </c>
      <c r="B58" s="12" t="s">
        <v>64</v>
      </c>
      <c r="C58" s="12">
        <v>2314</v>
      </c>
      <c r="D58" s="12" t="s">
        <v>59</v>
      </c>
      <c r="E58" s="2">
        <v>11.3</v>
      </c>
      <c r="F58" s="3">
        <f t="shared" si="4"/>
        <v>3.4440719292898505</v>
      </c>
      <c r="G58" s="4">
        <v>22.5</v>
      </c>
      <c r="H58" s="31">
        <v>0</v>
      </c>
      <c r="I58" s="31">
        <v>0</v>
      </c>
      <c r="K58" s="31">
        <v>397.61</v>
      </c>
      <c r="L58" s="5" t="s">
        <v>60</v>
      </c>
      <c r="M58" s="3">
        <v>7.6379999999999999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e">
        <f t="shared" si="3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spans="1:64" ht="17.25" customHeight="1" x14ac:dyDescent="0.2">
      <c r="A59" s="12" t="s">
        <v>90</v>
      </c>
      <c r="B59" s="12" t="s">
        <v>58</v>
      </c>
      <c r="C59" s="12">
        <v>2315</v>
      </c>
      <c r="D59" s="12" t="s">
        <v>59</v>
      </c>
      <c r="E59" s="2">
        <v>15</v>
      </c>
      <c r="F59" s="3">
        <f t="shared" si="4"/>
        <v>4.5717768972874122</v>
      </c>
      <c r="G59" s="4">
        <v>17.5</v>
      </c>
      <c r="H59" s="31">
        <v>8</v>
      </c>
      <c r="I59" s="31">
        <v>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e">
        <f t="shared" si="3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ht="17.25" customHeight="1" x14ac:dyDescent="0.2">
      <c r="A60" s="12" t="s">
        <v>90</v>
      </c>
      <c r="B60" s="12" t="s">
        <v>64</v>
      </c>
      <c r="C60" s="12">
        <v>2316</v>
      </c>
      <c r="D60" s="12" t="s">
        <v>59</v>
      </c>
      <c r="E60" s="2">
        <f>F60*3.281</f>
        <v>24.3</v>
      </c>
      <c r="F60" s="3">
        <v>7.4062785736056078</v>
      </c>
      <c r="G60" s="4">
        <v>20.3</v>
      </c>
      <c r="H60" s="31">
        <v>0</v>
      </c>
      <c r="I60" s="31">
        <v>0</v>
      </c>
      <c r="K60" s="31">
        <v>323.64999999999998</v>
      </c>
      <c r="L60" s="5" t="s">
        <v>60</v>
      </c>
      <c r="M60" s="3">
        <v>4.2309999999999999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e">
        <f t="shared" si="3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spans="1:64" ht="17.25" customHeight="1" x14ac:dyDescent="0.2">
      <c r="A61" s="12" t="s">
        <v>90</v>
      </c>
      <c r="B61" s="12" t="s">
        <v>64</v>
      </c>
      <c r="C61" s="12">
        <v>2317</v>
      </c>
      <c r="D61" s="12" t="s">
        <v>62</v>
      </c>
      <c r="E61" s="2">
        <v>28</v>
      </c>
      <c r="F61" s="3">
        <f t="shared" ref="F61:F64" si="5">E61/3.281</f>
        <v>8.5339835416031686</v>
      </c>
      <c r="G61" s="4">
        <v>28.5</v>
      </c>
      <c r="H61" s="31">
        <v>0</v>
      </c>
      <c r="I61" s="31">
        <v>0</v>
      </c>
      <c r="K61" s="31">
        <v>637.94000000000005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e">
        <f t="shared" si="3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ht="17.25" customHeight="1" x14ac:dyDescent="0.2">
      <c r="A62" s="12" t="s">
        <v>90</v>
      </c>
      <c r="B62" s="12" t="s">
        <v>64</v>
      </c>
      <c r="C62" s="12">
        <v>2318</v>
      </c>
      <c r="D62" s="12" t="s">
        <v>59</v>
      </c>
      <c r="E62" s="2">
        <v>28.9</v>
      </c>
      <c r="F62" s="3">
        <f t="shared" si="5"/>
        <v>8.8082901554404138</v>
      </c>
      <c r="G62" s="4">
        <v>28.8</v>
      </c>
      <c r="H62" s="31">
        <v>0</v>
      </c>
      <c r="I62" s="31">
        <v>0</v>
      </c>
      <c r="K62" s="31">
        <v>651.44000000000005</v>
      </c>
      <c r="L62" s="5" t="s">
        <v>60</v>
      </c>
      <c r="M62" s="3">
        <v>11.231999999999999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e">
        <f t="shared" si="3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ht="17.25" customHeight="1" x14ac:dyDescent="0.2">
      <c r="A63" s="12" t="s">
        <v>90</v>
      </c>
      <c r="B63" s="12" t="s">
        <v>64</v>
      </c>
      <c r="C63" s="12">
        <v>2319</v>
      </c>
      <c r="D63" s="12" t="s">
        <v>59</v>
      </c>
      <c r="E63" s="2">
        <v>30.6</v>
      </c>
      <c r="F63" s="3">
        <f t="shared" si="5"/>
        <v>9.3264248704663206</v>
      </c>
      <c r="G63" s="4">
        <v>14.1</v>
      </c>
      <c r="H63" s="31">
        <v>0</v>
      </c>
      <c r="I63" s="31">
        <v>0</v>
      </c>
      <c r="K63" s="31">
        <v>156.15</v>
      </c>
      <c r="L63" s="5" t="s">
        <v>60</v>
      </c>
      <c r="M63" s="3">
        <v>7.9859999999999998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e">
        <f t="shared" si="3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spans="1:64" ht="17.25" customHeight="1" x14ac:dyDescent="0.2">
      <c r="A64" s="12" t="s">
        <v>90</v>
      </c>
      <c r="B64" s="12" t="s">
        <v>58</v>
      </c>
      <c r="C64" s="12">
        <v>2320</v>
      </c>
      <c r="D64" s="12" t="s">
        <v>59</v>
      </c>
      <c r="E64" s="2">
        <v>37.200000000000003</v>
      </c>
      <c r="F64" s="3">
        <f t="shared" si="5"/>
        <v>11.338006705272782</v>
      </c>
      <c r="G64" s="4">
        <v>28</v>
      </c>
      <c r="H64" s="31">
        <v>0</v>
      </c>
      <c r="I64" s="31">
        <v>0</v>
      </c>
      <c r="K64" s="31">
        <v>615.75</v>
      </c>
      <c r="L64" s="5" t="s">
        <v>60</v>
      </c>
      <c r="M64" s="3">
        <v>10.826000000000001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e">
        <f t="shared" si="3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ht="17.25" customHeight="1" x14ac:dyDescent="0.2">
      <c r="A65" s="12" t="s">
        <v>90</v>
      </c>
      <c r="B65" s="12" t="s">
        <v>64</v>
      </c>
      <c r="C65" s="12">
        <v>2321</v>
      </c>
      <c r="D65" s="12" t="s">
        <v>62</v>
      </c>
      <c r="E65" s="2">
        <f>F65*3.281</f>
        <v>45.1</v>
      </c>
      <c r="F65" s="3">
        <v>13.74580920451082</v>
      </c>
      <c r="G65" s="4">
        <v>19.649999999999999</v>
      </c>
      <c r="H65" s="31">
        <v>0</v>
      </c>
      <c r="I65" s="31">
        <v>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e">
        <f t="shared" si="3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ht="17.25" customHeight="1" x14ac:dyDescent="0.2">
      <c r="A66" s="12" t="s">
        <v>90</v>
      </c>
      <c r="B66" s="12" t="s">
        <v>58</v>
      </c>
      <c r="C66" s="12">
        <v>2322</v>
      </c>
      <c r="D66" s="12" t="s">
        <v>59</v>
      </c>
      <c r="E66" s="2">
        <v>48.8</v>
      </c>
      <c r="F66" s="3">
        <f t="shared" ref="F66:F71" si="6">E66/3.281</f>
        <v>14.873514172508379</v>
      </c>
      <c r="G66" s="4">
        <v>25.5</v>
      </c>
      <c r="H66" s="31">
        <v>30.3</v>
      </c>
      <c r="I66" s="31">
        <v>0</v>
      </c>
      <c r="K66" s="31">
        <v>1231.77</v>
      </c>
      <c r="L66" s="5" t="s">
        <v>60</v>
      </c>
      <c r="M66" s="3">
        <v>8.6140000000000008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e">
        <f t="shared" si="3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spans="1:64" ht="17.25" customHeight="1" x14ac:dyDescent="0.2">
      <c r="A67" s="12" t="s">
        <v>90</v>
      </c>
      <c r="B67" s="12" t="s">
        <v>58</v>
      </c>
      <c r="C67" s="12">
        <v>2323</v>
      </c>
      <c r="D67" s="12" t="s">
        <v>62</v>
      </c>
      <c r="E67" s="2">
        <v>51.6</v>
      </c>
      <c r="F67" s="3">
        <f t="shared" si="6"/>
        <v>15.726912526668698</v>
      </c>
      <c r="G67" s="4">
        <v>25.5</v>
      </c>
      <c r="H67" s="31">
        <v>0</v>
      </c>
      <c r="I67" s="31">
        <v>0</v>
      </c>
      <c r="K67" s="31">
        <v>510.71</v>
      </c>
      <c r="L67" s="5" t="s">
        <v>60</v>
      </c>
      <c r="M67" s="3">
        <v>8.0399999999999991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e">
        <f t="shared" si="3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spans="1:64" ht="17.25" customHeight="1" x14ac:dyDescent="0.2">
      <c r="A68" s="12" t="s">
        <v>90</v>
      </c>
      <c r="B68" s="12" t="s">
        <v>64</v>
      </c>
      <c r="C68" s="12">
        <v>2324</v>
      </c>
      <c r="D68" s="12" t="s">
        <v>59</v>
      </c>
      <c r="E68" s="2">
        <v>60</v>
      </c>
      <c r="F68" s="3">
        <f t="shared" si="6"/>
        <v>18.287107589149649</v>
      </c>
      <c r="G68" s="4">
        <v>14.7</v>
      </c>
      <c r="H68" s="31">
        <v>0</v>
      </c>
      <c r="I68" s="31">
        <v>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e">
        <f t="shared" si="3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spans="1:64" ht="17.25" customHeight="1" x14ac:dyDescent="0.2">
      <c r="A69" s="12" t="s">
        <v>90</v>
      </c>
      <c r="B69" s="12" t="s">
        <v>64</v>
      </c>
      <c r="C69" s="12">
        <v>2325</v>
      </c>
      <c r="D69" s="12" t="s">
        <v>62</v>
      </c>
      <c r="E69" s="2">
        <v>60.9</v>
      </c>
      <c r="F69" s="3">
        <f t="shared" si="6"/>
        <v>18.561414202986892</v>
      </c>
      <c r="G69" s="4">
        <v>21.3</v>
      </c>
      <c r="H69" s="31">
        <v>25.7</v>
      </c>
      <c r="I69" s="31">
        <v>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e">
        <f t="shared" si="3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spans="1:64" ht="17.25" customHeight="1" x14ac:dyDescent="0.2">
      <c r="A70" s="12" t="s">
        <v>90</v>
      </c>
      <c r="B70" s="12" t="s">
        <v>64</v>
      </c>
      <c r="C70" s="12">
        <v>2327</v>
      </c>
      <c r="D70" s="12" t="s">
        <v>62</v>
      </c>
      <c r="E70" s="2">
        <v>77</v>
      </c>
      <c r="F70" s="3">
        <f t="shared" si="6"/>
        <v>23.468454739408717</v>
      </c>
      <c r="G70" s="4">
        <v>19.399999999999999</v>
      </c>
      <c r="H70" s="50"/>
      <c r="I70" s="31">
        <v>0</v>
      </c>
      <c r="K70" s="31">
        <v>295.58999999999997</v>
      </c>
      <c r="L70" s="5" t="s">
        <v>60</v>
      </c>
      <c r="M70" s="3">
        <v>5.8609999999999998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e">
        <f t="shared" si="3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spans="1:64" ht="17.25" customHeight="1" x14ac:dyDescent="0.2">
      <c r="A71" s="12" t="s">
        <v>90</v>
      </c>
      <c r="B71" s="12" t="s">
        <v>64</v>
      </c>
      <c r="C71" s="12">
        <v>2326</v>
      </c>
      <c r="D71" s="12" t="s">
        <v>62</v>
      </c>
      <c r="E71" s="2">
        <v>78.099999999999994</v>
      </c>
      <c r="F71" s="3">
        <f t="shared" si="6"/>
        <v>23.803718378543124</v>
      </c>
      <c r="G71" s="4">
        <v>12.1</v>
      </c>
      <c r="H71" s="31">
        <v>0</v>
      </c>
      <c r="I71" s="31">
        <v>0</v>
      </c>
      <c r="K71" s="31">
        <v>114.99</v>
      </c>
      <c r="L71" s="5" t="s">
        <v>60</v>
      </c>
      <c r="M71" s="3">
        <v>9.8940000000000001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e">
        <f t="shared" si="3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ht="17.25" customHeight="1" x14ac:dyDescent="0.2">
      <c r="A72" s="12" t="s">
        <v>90</v>
      </c>
      <c r="B72" s="12" t="s">
        <v>58</v>
      </c>
      <c r="C72" s="12">
        <v>2328</v>
      </c>
      <c r="D72" s="12" t="s">
        <v>62</v>
      </c>
      <c r="E72" s="2">
        <v>78.7</v>
      </c>
      <c r="F72" s="3"/>
      <c r="G72" s="4">
        <v>9.1</v>
      </c>
      <c r="H72" s="31">
        <v>13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e">
        <f t="shared" si="3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ht="17.25" customHeight="1" x14ac:dyDescent="0.2">
      <c r="A73" s="12" t="s">
        <v>90</v>
      </c>
      <c r="B73" s="12" t="s">
        <v>64</v>
      </c>
      <c r="C73" s="12">
        <v>2329</v>
      </c>
      <c r="D73" s="12" t="s">
        <v>62</v>
      </c>
      <c r="E73" s="2">
        <v>82.1</v>
      </c>
      <c r="F73" s="3">
        <v>25.967692776592504</v>
      </c>
      <c r="G73" s="4">
        <v>12</v>
      </c>
      <c r="H73" s="31">
        <v>0</v>
      </c>
      <c r="I73" s="31">
        <v>0</v>
      </c>
      <c r="K73" s="31">
        <v>113.1</v>
      </c>
      <c r="L73" s="5" t="s">
        <v>60</v>
      </c>
      <c r="M73" s="3">
        <v>7.3360000000000003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e">
        <f t="shared" si="3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spans="1:64" ht="17.25" customHeight="1" x14ac:dyDescent="0.2">
      <c r="A74" s="12" t="s">
        <v>90</v>
      </c>
      <c r="B74" s="12" t="s">
        <v>64</v>
      </c>
      <c r="C74" s="12">
        <v>2330</v>
      </c>
      <c r="D74" s="12" t="s">
        <v>62</v>
      </c>
      <c r="E74" s="2">
        <v>86.5</v>
      </c>
      <c r="F74" s="3"/>
      <c r="G74" s="4">
        <v>12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e">
        <f t="shared" si="3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spans="1:64" ht="15.75" customHeight="1" x14ac:dyDescent="0.2">
      <c r="A75" s="12" t="s">
        <v>90</v>
      </c>
      <c r="B75" s="12" t="s">
        <v>58</v>
      </c>
      <c r="C75" s="12">
        <v>2331</v>
      </c>
      <c r="D75" s="12" t="s">
        <v>59</v>
      </c>
      <c r="E75" s="2">
        <v>103.2</v>
      </c>
      <c r="F75" s="3">
        <f t="shared" ref="F75:F77" si="7">E75/3.281</f>
        <v>31.453825053337397</v>
      </c>
      <c r="G75" s="4">
        <v>36.200000000000003</v>
      </c>
      <c r="H75" s="31">
        <v>0</v>
      </c>
      <c r="I75" s="31">
        <v>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0.56000000000000005</v>
      </c>
      <c r="Z75" s="9"/>
      <c r="AA75" s="9"/>
      <c r="AB75" s="9"/>
      <c r="AC75" s="9"/>
      <c r="AD75" s="15">
        <v>2.5099999999999998</v>
      </c>
      <c r="AE75" s="15">
        <v>2.2999999999999998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3"/>
        <v>2.6120000000000001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0.30220000000000002</v>
      </c>
      <c r="AX75" s="15">
        <v>2.3420000000000001</v>
      </c>
      <c r="AY75" s="15">
        <v>0.25090000000000001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1.1843999999999999</v>
      </c>
      <c r="BL75" s="9"/>
    </row>
    <row r="76" spans="1:64" ht="15.75" customHeight="1" x14ac:dyDescent="0.2">
      <c r="A76" s="12" t="s">
        <v>90</v>
      </c>
      <c r="B76" s="12" t="s">
        <v>64</v>
      </c>
      <c r="C76" s="12">
        <v>2332</v>
      </c>
      <c r="D76" s="12" t="s">
        <v>62</v>
      </c>
      <c r="E76" s="2">
        <v>123</v>
      </c>
      <c r="F76" s="3">
        <f t="shared" si="7"/>
        <v>37.48857055775678</v>
      </c>
      <c r="G76" s="4">
        <v>85.5</v>
      </c>
      <c r="H76" s="31">
        <v>0</v>
      </c>
      <c r="I76" s="31">
        <v>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</v>
      </c>
      <c r="V76" s="15">
        <v>1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e">
        <f t="shared" si="3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ht="15.75" customHeight="1" x14ac:dyDescent="0.2">
      <c r="A77" s="12" t="s">
        <v>90</v>
      </c>
      <c r="B77" s="12" t="s">
        <v>64</v>
      </c>
      <c r="C77" s="12">
        <v>2333</v>
      </c>
      <c r="D77" s="12" t="s">
        <v>59</v>
      </c>
      <c r="E77" s="2">
        <v>125.6</v>
      </c>
      <c r="F77" s="3">
        <f t="shared" si="7"/>
        <v>38.281011886619929</v>
      </c>
      <c r="G77" s="4">
        <v>14.4</v>
      </c>
      <c r="H77" s="31">
        <v>0</v>
      </c>
      <c r="I77" s="31">
        <v>0</v>
      </c>
      <c r="K77" s="31">
        <v>162.86000000000001</v>
      </c>
      <c r="L77" s="5" t="s">
        <v>60</v>
      </c>
      <c r="M77" s="3">
        <v>5.6879999999999997</v>
      </c>
      <c r="N77" s="32">
        <v>0.7</v>
      </c>
      <c r="O77" s="32">
        <v>0.6</v>
      </c>
      <c r="T77" s="33" t="s">
        <v>75</v>
      </c>
      <c r="U77" s="14">
        <v>1</v>
      </c>
      <c r="V77" s="15">
        <v>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e">
        <f t="shared" si="3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spans="1:64" ht="15.75" customHeight="1" x14ac:dyDescent="0.2">
      <c r="A78" s="2" t="s">
        <v>90</v>
      </c>
      <c r="B78" s="3" t="s">
        <v>64</v>
      </c>
      <c r="C78" s="12">
        <v>2334</v>
      </c>
      <c r="D78" s="3" t="s">
        <v>62</v>
      </c>
      <c r="E78" s="12">
        <v>159</v>
      </c>
      <c r="F78" s="4">
        <v>48.460835111246567</v>
      </c>
      <c r="G78" s="12">
        <v>11.8</v>
      </c>
      <c r="H78" s="51">
        <v>0</v>
      </c>
      <c r="I78" s="51">
        <v>0</v>
      </c>
      <c r="K78" s="51">
        <v>109.36</v>
      </c>
      <c r="L78" s="5" t="s">
        <v>60</v>
      </c>
      <c r="M78" s="3">
        <v>7.3310000000000004</v>
      </c>
      <c r="N78" s="32">
        <v>0.5</v>
      </c>
      <c r="O78" s="32">
        <v>0.5</v>
      </c>
      <c r="P78" s="9" t="s">
        <v>97</v>
      </c>
      <c r="Q78" s="33">
        <v>4.9000000000000004</v>
      </c>
      <c r="R78" s="33">
        <v>5</v>
      </c>
      <c r="S78" s="33">
        <v>4.95</v>
      </c>
      <c r="T78" s="33" t="s">
        <v>75</v>
      </c>
      <c r="U78" s="14">
        <v>1</v>
      </c>
      <c r="V78" s="15">
        <v>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e">
        <f t="shared" si="3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spans="1:64" ht="15.75" customHeight="1" x14ac:dyDescent="0.2">
      <c r="A79" s="12" t="s">
        <v>90</v>
      </c>
      <c r="B79" s="12" t="s">
        <v>64</v>
      </c>
      <c r="C79" s="12">
        <v>2336</v>
      </c>
      <c r="D79" s="12" t="s">
        <v>62</v>
      </c>
      <c r="E79" s="2">
        <v>159</v>
      </c>
      <c r="F79" s="3">
        <f>E79/3.281</f>
        <v>48.460835111246567</v>
      </c>
      <c r="G79" s="4">
        <v>11.8</v>
      </c>
      <c r="H79" s="31">
        <v>0</v>
      </c>
      <c r="I79" s="31">
        <v>0</v>
      </c>
      <c r="K79" s="31">
        <v>109.36</v>
      </c>
      <c r="L79" s="5" t="s">
        <v>60</v>
      </c>
      <c r="M79" s="3">
        <v>7.3310000000000004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</v>
      </c>
      <c r="V79" s="15">
        <v>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e">
        <f t="shared" si="3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spans="1:64" ht="15.75" customHeight="1" x14ac:dyDescent="0.2">
      <c r="A80" s="12" t="s">
        <v>90</v>
      </c>
      <c r="B80" s="12" t="s">
        <v>64</v>
      </c>
      <c r="C80" s="12">
        <v>2335</v>
      </c>
      <c r="D80" s="12" t="s">
        <v>62</v>
      </c>
      <c r="E80" s="2">
        <f>F80*3.281</f>
        <v>160.1</v>
      </c>
      <c r="F80" s="3">
        <v>48.796098750380978</v>
      </c>
      <c r="G80" s="4">
        <v>25.6</v>
      </c>
      <c r="H80" s="31">
        <v>0</v>
      </c>
      <c r="I80" s="31">
        <v>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</v>
      </c>
      <c r="V80" s="15">
        <v>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e">
        <f t="shared" si="3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spans="1:64" ht="15.75" customHeight="1" x14ac:dyDescent="0.2">
      <c r="A81" s="38" t="s">
        <v>100</v>
      </c>
      <c r="B81" s="38" t="s">
        <v>64</v>
      </c>
      <c r="C81" s="38">
        <v>2374</v>
      </c>
      <c r="D81" s="12"/>
      <c r="E81" s="2"/>
      <c r="F81" s="3"/>
      <c r="G81" s="39">
        <v>36.200000000000003</v>
      </c>
      <c r="H81" s="40">
        <v>32.799999999999997</v>
      </c>
      <c r="I81" s="40">
        <v>0</v>
      </c>
      <c r="K81" s="31"/>
      <c r="L81" s="5"/>
      <c r="M81" s="3"/>
      <c r="N81" s="32"/>
      <c r="O81" s="32"/>
      <c r="P81" s="12"/>
      <c r="U81" s="14">
        <v>2</v>
      </c>
      <c r="V81" s="15">
        <v>2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e">
        <f t="shared" si="3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spans="1:64" ht="15.75" customHeight="1" x14ac:dyDescent="0.2">
      <c r="A82" s="12" t="s">
        <v>101</v>
      </c>
      <c r="B82" s="12" t="s">
        <v>58</v>
      </c>
      <c r="C82" s="34">
        <v>2301</v>
      </c>
      <c r="D82" s="12" t="s">
        <v>62</v>
      </c>
      <c r="E82" s="2">
        <v>7</v>
      </c>
      <c r="F82" s="3">
        <f>E82/3.281</f>
        <v>2.1334958854007922</v>
      </c>
      <c r="G82" s="4">
        <v>48.5</v>
      </c>
      <c r="H82" s="31">
        <v>32.6</v>
      </c>
      <c r="I82" s="31">
        <v>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</v>
      </c>
      <c r="R82" s="33">
        <v>2.9</v>
      </c>
      <c r="T82" s="33" t="s">
        <v>75</v>
      </c>
      <c r="U82" s="10"/>
      <c r="V82" s="9"/>
      <c r="W82" s="15">
        <v>1.1200000000000001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3"/>
        <v>1.8060000000000003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2.2599999999999998</v>
      </c>
      <c r="AW82" s="15">
        <v>0.51600000000000001</v>
      </c>
      <c r="AX82" s="15">
        <v>2.61</v>
      </c>
      <c r="AY82" s="15">
        <v>0.28820000000000001</v>
      </c>
      <c r="AZ82" s="15">
        <v>2.1120000000000001</v>
      </c>
      <c r="BA82" s="15">
        <v>0.3896</v>
      </c>
      <c r="BB82" s="15">
        <v>2.19</v>
      </c>
      <c r="BC82" s="15">
        <v>0.39779999999999999</v>
      </c>
      <c r="BD82" s="9"/>
      <c r="BE82" s="9"/>
      <c r="BF82" s="9"/>
      <c r="BG82" s="9"/>
      <c r="BH82" s="9"/>
      <c r="BI82" s="9"/>
      <c r="BJ82" s="9"/>
      <c r="BK82" s="15">
        <v>1.7593000000000001</v>
      </c>
      <c r="BL82" s="9"/>
    </row>
    <row r="83" spans="1:64" ht="15.75" customHeight="1" x14ac:dyDescent="0.2">
      <c r="A83" s="12" t="s">
        <v>101</v>
      </c>
      <c r="B83" s="12" t="s">
        <v>64</v>
      </c>
      <c r="C83" s="12">
        <v>2302</v>
      </c>
      <c r="D83" s="12" t="s">
        <v>59</v>
      </c>
      <c r="E83" s="2">
        <f t="shared" ref="E83:E84" si="8">F83*3.281</f>
        <v>13.4</v>
      </c>
      <c r="F83" s="3">
        <v>4.0841206949100881</v>
      </c>
      <c r="G83" s="4">
        <v>35.9</v>
      </c>
      <c r="H83" s="31">
        <v>0</v>
      </c>
      <c r="I83" s="31">
        <v>0</v>
      </c>
      <c r="K83" s="31">
        <v>1012.23</v>
      </c>
      <c r="L83" s="5" t="s">
        <v>60</v>
      </c>
      <c r="M83" s="3">
        <v>10.842000000000001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</v>
      </c>
      <c r="V83" s="15">
        <v>1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e">
        <f t="shared" si="3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spans="1:64" ht="15.75" customHeight="1" x14ac:dyDescent="0.2">
      <c r="A84" s="12" t="s">
        <v>101</v>
      </c>
      <c r="B84" s="12" t="s">
        <v>64</v>
      </c>
      <c r="C84" s="12">
        <v>2303</v>
      </c>
      <c r="D84" s="12" t="s">
        <v>62</v>
      </c>
      <c r="E84" s="2">
        <f t="shared" si="8"/>
        <v>18.600000000000001</v>
      </c>
      <c r="F84" s="3">
        <v>5.6690033526363912</v>
      </c>
      <c r="G84" s="4">
        <v>27.7</v>
      </c>
      <c r="H84" s="31">
        <v>0</v>
      </c>
      <c r="I84" s="31">
        <v>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</v>
      </c>
      <c r="V84" s="15">
        <v>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e">
        <f t="shared" si="3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spans="1:64" ht="17.25" customHeight="1" x14ac:dyDescent="0.2">
      <c r="A85" s="12" t="s">
        <v>101</v>
      </c>
      <c r="B85" s="12" t="s">
        <v>64</v>
      </c>
      <c r="C85" s="12">
        <v>2304</v>
      </c>
      <c r="D85" s="12" t="s">
        <v>59</v>
      </c>
      <c r="E85" s="2">
        <v>39</v>
      </c>
      <c r="F85" s="3">
        <f>E85/3.281</f>
        <v>11.886619932947271</v>
      </c>
      <c r="G85" s="4">
        <v>34</v>
      </c>
      <c r="H85" s="31">
        <v>0</v>
      </c>
      <c r="I85" s="31">
        <v>0</v>
      </c>
      <c r="K85" s="31">
        <v>907.92</v>
      </c>
      <c r="L85" s="5" t="s">
        <v>60</v>
      </c>
      <c r="M85" s="3">
        <v>24.338999999999999</v>
      </c>
      <c r="N85" s="32">
        <v>0.4</v>
      </c>
      <c r="O85" s="32">
        <v>0.4</v>
      </c>
      <c r="T85" s="33" t="s">
        <v>75</v>
      </c>
      <c r="U85" s="14">
        <v>0</v>
      </c>
      <c r="V85" s="15">
        <v>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e">
        <f t="shared" si="3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spans="1:64" ht="17.25" customHeight="1" x14ac:dyDescent="0.2">
      <c r="A86" s="12" t="s">
        <v>101</v>
      </c>
      <c r="B86" s="12" t="s">
        <v>64</v>
      </c>
      <c r="C86" s="12">
        <v>2305</v>
      </c>
      <c r="D86" s="36" t="s">
        <v>59</v>
      </c>
      <c r="E86" s="12">
        <v>50.5</v>
      </c>
      <c r="F86" s="3">
        <f>G86/3.281</f>
        <v>10.606522401706796</v>
      </c>
      <c r="G86" s="2">
        <v>34.799999999999997</v>
      </c>
      <c r="H86" s="52">
        <v>0</v>
      </c>
      <c r="I86" s="52">
        <v>0</v>
      </c>
      <c r="K86" s="52">
        <v>1165.1300000000001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</v>
      </c>
      <c r="V86" s="15">
        <v>1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e">
        <f t="shared" si="3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spans="1:64" ht="17.25" customHeight="1" x14ac:dyDescent="0.2">
      <c r="A87" s="12" t="s">
        <v>101</v>
      </c>
      <c r="B87" s="12" t="s">
        <v>64</v>
      </c>
      <c r="C87" s="12">
        <v>2306</v>
      </c>
      <c r="D87" s="12" t="s">
        <v>62</v>
      </c>
      <c r="E87" s="2">
        <v>71</v>
      </c>
      <c r="F87" s="3">
        <f>E87/3.281</f>
        <v>21.639743980493751</v>
      </c>
      <c r="G87" s="4">
        <v>33.799999999999997</v>
      </c>
      <c r="H87" s="31">
        <v>0</v>
      </c>
      <c r="I87" s="31">
        <v>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</v>
      </c>
      <c r="R87" s="33">
        <v>3.55</v>
      </c>
      <c r="S87" s="33">
        <v>3.4</v>
      </c>
      <c r="T87" s="33" t="s">
        <v>75</v>
      </c>
      <c r="U87" s="14">
        <v>1</v>
      </c>
      <c r="V87" s="15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e">
        <f t="shared" si="3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spans="1:64" ht="17.25" customHeight="1" x14ac:dyDescent="0.2">
      <c r="A88" s="12" t="s">
        <v>101</v>
      </c>
      <c r="B88" s="12" t="s">
        <v>64</v>
      </c>
      <c r="C88" s="12">
        <v>2307</v>
      </c>
      <c r="D88" s="12" t="s">
        <v>59</v>
      </c>
      <c r="E88" s="2">
        <f>F88*3.281</f>
        <v>81.400000000000006</v>
      </c>
      <c r="F88" s="3">
        <v>24.809509295946359</v>
      </c>
      <c r="G88" s="4">
        <v>44.5</v>
      </c>
      <c r="H88" s="31">
        <v>0</v>
      </c>
      <c r="I88" s="31">
        <v>0</v>
      </c>
      <c r="K88" s="31">
        <v>1555.28</v>
      </c>
      <c r="L88" s="5" t="s">
        <v>60</v>
      </c>
      <c r="M88" s="3">
        <v>9.4220000000000006</v>
      </c>
      <c r="N88" s="32">
        <v>0.6</v>
      </c>
      <c r="O88" s="32">
        <v>0.5</v>
      </c>
      <c r="Q88" s="33">
        <v>3.4</v>
      </c>
      <c r="R88" s="33">
        <v>3</v>
      </c>
      <c r="T88" s="33" t="s">
        <v>75</v>
      </c>
      <c r="U88" s="14">
        <v>0</v>
      </c>
      <c r="V88" s="15">
        <v>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e">
        <f t="shared" si="3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spans="1:64" ht="17.25" customHeight="1" x14ac:dyDescent="0.2">
      <c r="A89" s="12" t="s">
        <v>101</v>
      </c>
      <c r="B89" s="12" t="s">
        <v>64</v>
      </c>
      <c r="C89" s="12">
        <v>2308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</v>
      </c>
      <c r="I89" s="31">
        <v>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</v>
      </c>
      <c r="V89" s="15">
        <v>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e">
        <f t="shared" si="3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spans="1:64" ht="17.25" customHeight="1" x14ac:dyDescent="0.2">
      <c r="A90" s="12" t="s">
        <v>101</v>
      </c>
      <c r="B90" s="12" t="s">
        <v>64</v>
      </c>
      <c r="C90" s="12">
        <v>2309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</v>
      </c>
      <c r="I90" s="31">
        <v>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</v>
      </c>
      <c r="V90" s="15">
        <v>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e">
        <f t="shared" si="3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spans="1:64" ht="15.75" customHeight="1" x14ac:dyDescent="0.2">
      <c r="A91" s="53" t="s">
        <v>106</v>
      </c>
      <c r="B91" s="54" t="s">
        <v>64</v>
      </c>
      <c r="C91" s="55">
        <v>2370</v>
      </c>
      <c r="D91" s="3"/>
      <c r="E91" s="12"/>
      <c r="F91" s="4"/>
      <c r="G91" s="38">
        <v>47</v>
      </c>
      <c r="H91" s="56">
        <v>0</v>
      </c>
      <c r="I91" s="56">
        <v>0</v>
      </c>
      <c r="J91" s="57">
        <v>0.6</v>
      </c>
      <c r="K91" s="51"/>
      <c r="L91" s="5"/>
      <c r="M91" s="3"/>
      <c r="N91" s="32"/>
      <c r="O91" s="32"/>
      <c r="U91" s="14">
        <v>1</v>
      </c>
      <c r="V91" s="15">
        <v>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1.5620000000000001</v>
      </c>
      <c r="AP91" s="15">
        <v>1.3879999999999999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spans="1:64" ht="15.75" customHeight="1" x14ac:dyDescent="0.2">
      <c r="A92" s="53" t="s">
        <v>107</v>
      </c>
      <c r="B92" s="54" t="s">
        <v>64</v>
      </c>
      <c r="C92" s="55">
        <v>2371</v>
      </c>
      <c r="D92" s="3"/>
      <c r="E92" s="12"/>
      <c r="F92" s="4"/>
      <c r="G92" s="38">
        <v>97.8</v>
      </c>
      <c r="H92" s="56">
        <v>0</v>
      </c>
      <c r="I92" s="56">
        <v>0</v>
      </c>
      <c r="K92" s="51"/>
      <c r="L92" s="5"/>
      <c r="M92" s="3"/>
      <c r="N92" s="32"/>
      <c r="O92" s="32"/>
      <c r="U92" s="14">
        <v>0</v>
      </c>
      <c r="V92" s="15">
        <v>0</v>
      </c>
      <c r="W92" s="15">
        <v>1.26</v>
      </c>
      <c r="X92" s="15">
        <v>2.2000000000000002</v>
      </c>
      <c r="Y92" s="15">
        <v>1.89</v>
      </c>
      <c r="Z92" s="15">
        <v>1.0900000000000001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spans="1:64" ht="15.75" customHeight="1" x14ac:dyDescent="0.2">
      <c r="A93" s="53" t="s">
        <v>108</v>
      </c>
      <c r="B93" s="54" t="s">
        <v>64</v>
      </c>
      <c r="C93" s="55">
        <v>2372</v>
      </c>
      <c r="D93" s="3"/>
      <c r="E93" s="12"/>
      <c r="F93" s="4"/>
      <c r="G93" s="38">
        <v>47</v>
      </c>
      <c r="H93" s="56">
        <v>0</v>
      </c>
      <c r="I93" s="56">
        <v>0</v>
      </c>
      <c r="K93" s="51"/>
      <c r="L93" s="5"/>
      <c r="M93" s="3"/>
      <c r="N93" s="32"/>
      <c r="O93" s="32"/>
      <c r="U93" s="14">
        <v>1</v>
      </c>
      <c r="V93" s="15">
        <v>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spans="1:64" ht="15.75" customHeight="1" x14ac:dyDescent="0.2">
      <c r="A94" s="53" t="s">
        <v>110</v>
      </c>
      <c r="B94" s="54" t="s">
        <v>64</v>
      </c>
      <c r="C94" s="55">
        <v>2373</v>
      </c>
      <c r="D94" s="3"/>
      <c r="E94" s="12"/>
      <c r="F94" s="4"/>
      <c r="G94" s="38">
        <v>46.8</v>
      </c>
      <c r="H94" s="56">
        <v>0</v>
      </c>
      <c r="I94" s="56">
        <v>0</v>
      </c>
      <c r="K94" s="51"/>
      <c r="L94" s="5"/>
      <c r="M94" s="3"/>
      <c r="N94" s="32"/>
      <c r="O94" s="32"/>
      <c r="U94" s="14">
        <v>0</v>
      </c>
      <c r="V94" s="15">
        <v>1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spans="1:64" ht="15.75" customHeight="1" x14ac:dyDescent="0.2">
      <c r="A95" s="2" t="s">
        <v>112</v>
      </c>
      <c r="B95" s="3" t="s">
        <v>64</v>
      </c>
      <c r="C95" s="3"/>
      <c r="D95" s="3" t="s">
        <v>62</v>
      </c>
      <c r="E95" s="12">
        <v>1.6405000000000001</v>
      </c>
      <c r="F95" s="4">
        <v>0.5</v>
      </c>
      <c r="G95" s="12">
        <v>55.1</v>
      </c>
      <c r="H95" s="51">
        <v>0</v>
      </c>
      <c r="I95" s="51">
        <v>0</v>
      </c>
      <c r="K95" s="51">
        <v>637.94000000000005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e">
        <f t="shared" ref="AK95:AK110" si="9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spans="1:64" ht="15.75" customHeight="1" x14ac:dyDescent="0.2">
      <c r="A96" s="2" t="s">
        <v>112</v>
      </c>
      <c r="B96" s="3" t="s">
        <v>64</v>
      </c>
      <c r="C96" s="3"/>
      <c r="D96" s="3" t="s">
        <v>62</v>
      </c>
      <c r="E96" s="12">
        <v>91.868000000000009</v>
      </c>
      <c r="F96" s="4">
        <v>28</v>
      </c>
      <c r="G96" s="12">
        <v>17.600000000000001</v>
      </c>
      <c r="H96" s="51">
        <v>0</v>
      </c>
      <c r="I96" s="51">
        <v>0</v>
      </c>
      <c r="K96" s="51">
        <v>2384.48</v>
      </c>
      <c r="L96" s="5">
        <v>72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e">
        <f t="shared" si="9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spans="1:64" ht="15.75" customHeight="1" x14ac:dyDescent="0.2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</v>
      </c>
      <c r="G97" s="12">
        <v>15.2</v>
      </c>
      <c r="H97" s="51">
        <v>0</v>
      </c>
      <c r="I97" s="51">
        <v>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e">
        <f t="shared" si="9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spans="1:64" ht="15.75" customHeight="1" x14ac:dyDescent="0.2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</v>
      </c>
      <c r="G98" s="12">
        <v>27.9</v>
      </c>
      <c r="H98" s="51">
        <v>0</v>
      </c>
      <c r="I98" s="51">
        <v>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e">
        <f t="shared" si="9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spans="1:64" ht="15.75" customHeight="1" x14ac:dyDescent="0.2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</v>
      </c>
      <c r="G99" s="12">
        <v>28.5</v>
      </c>
      <c r="H99" s="51">
        <v>0</v>
      </c>
      <c r="I99" s="51">
        <v>0</v>
      </c>
      <c r="K99" s="51">
        <v>243.28</v>
      </c>
      <c r="L99" s="5">
        <v>18.3</v>
      </c>
      <c r="M99" s="3">
        <v>4.5999999999999996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e">
        <f t="shared" si="9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spans="1:64" ht="15.75" customHeight="1" x14ac:dyDescent="0.2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</v>
      </c>
      <c r="H100" s="51">
        <v>0</v>
      </c>
      <c r="I100" s="51">
        <v>0</v>
      </c>
      <c r="K100" s="51">
        <v>891.97</v>
      </c>
      <c r="L100" s="5">
        <v>42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e">
        <f t="shared" si="9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spans="1:64" ht="15.75" customHeight="1" x14ac:dyDescent="0.2">
      <c r="A101" s="2" t="s">
        <v>113</v>
      </c>
      <c r="B101" s="3" t="s">
        <v>64</v>
      </c>
      <c r="C101" s="3"/>
      <c r="D101" s="3" t="s">
        <v>59</v>
      </c>
      <c r="E101" s="12">
        <v>21.326499999999999</v>
      </c>
      <c r="F101" s="4">
        <v>6.5</v>
      </c>
      <c r="G101" s="12">
        <v>36</v>
      </c>
      <c r="H101" s="51">
        <v>0</v>
      </c>
      <c r="I101" s="51">
        <v>0</v>
      </c>
      <c r="K101" s="51">
        <v>907.92</v>
      </c>
      <c r="L101" s="5">
        <v>39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e">
        <f t="shared" si="9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spans="1:64" ht="15.75" customHeight="1" x14ac:dyDescent="0.2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</v>
      </c>
      <c r="G102" s="12">
        <v>70.2</v>
      </c>
      <c r="H102" s="51">
        <v>0</v>
      </c>
      <c r="I102" s="51">
        <v>0</v>
      </c>
      <c r="K102" s="51">
        <v>3870.47</v>
      </c>
      <c r="L102" s="5">
        <v>88</v>
      </c>
      <c r="M102" s="3">
        <v>18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e">
        <f t="shared" si="9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spans="1:64" ht="15.75" customHeight="1" x14ac:dyDescent="0.2">
      <c r="A103" s="2" t="s">
        <v>113</v>
      </c>
      <c r="B103" s="3" t="s">
        <v>64</v>
      </c>
      <c r="C103" s="3"/>
      <c r="D103" s="3" t="s">
        <v>62</v>
      </c>
      <c r="E103" s="12">
        <v>113.19450000000001</v>
      </c>
      <c r="F103" s="4">
        <v>34.5</v>
      </c>
      <c r="G103" s="12">
        <v>34</v>
      </c>
      <c r="H103" s="51">
        <v>0</v>
      </c>
      <c r="I103" s="51">
        <v>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e">
        <f t="shared" si="9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spans="1:64" ht="15.75" customHeight="1" x14ac:dyDescent="0.2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</v>
      </c>
      <c r="G104" s="12">
        <v>33.700000000000003</v>
      </c>
      <c r="H104" s="51">
        <v>0</v>
      </c>
      <c r="I104" s="51">
        <v>0</v>
      </c>
      <c r="K104" s="51">
        <v>2642.08</v>
      </c>
      <c r="L104" s="5">
        <v>70</v>
      </c>
      <c r="M104" s="3">
        <v>17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e">
        <f t="shared" si="9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4" ht="15.75" customHeight="1" x14ac:dyDescent="0.2">
      <c r="A105" s="12" t="s">
        <v>114</v>
      </c>
      <c r="B105" s="12" t="s">
        <v>58</v>
      </c>
      <c r="C105" s="12"/>
      <c r="D105" s="12" t="s">
        <v>115</v>
      </c>
      <c r="E105" s="2">
        <v>1</v>
      </c>
      <c r="F105" s="2" t="s">
        <v>115</v>
      </c>
      <c r="G105" s="4">
        <v>51.3</v>
      </c>
      <c r="H105" s="50">
        <v>32</v>
      </c>
      <c r="I105" s="50">
        <v>0</v>
      </c>
      <c r="K105" s="51">
        <v>2871.1722119999999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e">
        <f t="shared" si="9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spans="1:64" ht="15.75" customHeight="1" x14ac:dyDescent="0.2">
      <c r="A106" s="12" t="s">
        <v>114</v>
      </c>
      <c r="B106" s="12" t="s">
        <v>58</v>
      </c>
      <c r="C106" s="12"/>
      <c r="D106" s="12" t="s">
        <v>115</v>
      </c>
      <c r="E106" s="2">
        <v>2</v>
      </c>
      <c r="F106" s="2" t="s">
        <v>115</v>
      </c>
      <c r="G106" s="4">
        <v>77.900000000000006</v>
      </c>
      <c r="H106" s="50">
        <v>0</v>
      </c>
      <c r="I106" s="50">
        <v>0</v>
      </c>
      <c r="K106" s="51">
        <v>4766.1180690000001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e">
        <f t="shared" si="9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spans="1:64" ht="15.75" customHeight="1" x14ac:dyDescent="0.2">
      <c r="A107" s="2" t="s">
        <v>133</v>
      </c>
      <c r="B107" s="3" t="s">
        <v>64</v>
      </c>
      <c r="C107" s="58">
        <v>2381</v>
      </c>
      <c r="D107" s="3" t="s">
        <v>115</v>
      </c>
      <c r="E107" s="2"/>
      <c r="F107" s="3"/>
      <c r="G107" s="38">
        <v>36.6</v>
      </c>
      <c r="H107" s="59">
        <v>32.299999999999997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</v>
      </c>
      <c r="V107" s="15">
        <v>3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e">
        <f t="shared" si="9"/>
        <v>#DIV/0!</v>
      </c>
      <c r="AL107" s="16" t="s">
        <v>119</v>
      </c>
      <c r="AM107" s="15"/>
      <c r="AN107" s="15"/>
      <c r="AO107" s="14">
        <v>1.3160000000000001</v>
      </c>
      <c r="AP107" s="15">
        <v>1.3340000000000001</v>
      </c>
      <c r="AQ107" s="15"/>
      <c r="AR107" s="15"/>
      <c r="AS107" s="15"/>
      <c r="AT107" s="15"/>
      <c r="AU107" s="15"/>
      <c r="AV107" s="15">
        <v>1.8560000000000001</v>
      </c>
      <c r="AW107" s="15">
        <v>0.1124</v>
      </c>
      <c r="AX107" s="15">
        <v>1.829</v>
      </c>
      <c r="AY107" s="15">
        <v>6.5699999999999995E-2</v>
      </c>
      <c r="AZ107" s="15">
        <v>1.8180000000000001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0.79620000000000002</v>
      </c>
      <c r="BL107" s="15"/>
    </row>
    <row r="108" spans="1:64" ht="15.75" customHeight="1" x14ac:dyDescent="0.2">
      <c r="A108" s="2" t="s">
        <v>133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e">
        <f t="shared" si="9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ht="15.75" customHeight="1" x14ac:dyDescent="0.2">
      <c r="A109" s="2" t="s">
        <v>133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4.2699999999999996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e">
        <f t="shared" si="9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spans="1:64" ht="15.75" customHeight="1" x14ac:dyDescent="0.2">
      <c r="A110" s="2" t="s">
        <v>133</v>
      </c>
      <c r="B110" s="3" t="s">
        <v>64</v>
      </c>
      <c r="C110" s="58">
        <v>2382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</v>
      </c>
      <c r="V110" s="15">
        <v>6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e">
        <f t="shared" si="9"/>
        <v>#DIV/0!</v>
      </c>
      <c r="AL110" s="16" t="s">
        <v>123</v>
      </c>
      <c r="AM110" s="15"/>
      <c r="AN110" s="15"/>
      <c r="AO110" s="14">
        <v>0.79800000000000004</v>
      </c>
      <c r="AP110" s="15">
        <v>0.79100000000000004</v>
      </c>
      <c r="AQ110" s="15">
        <v>0.82099999999999995</v>
      </c>
      <c r="AR110" s="15"/>
      <c r="AS110" s="15"/>
      <c r="AT110" s="15"/>
      <c r="AU110" s="15"/>
      <c r="AV110" s="15">
        <v>2.0059999999999998</v>
      </c>
      <c r="AW110" s="15">
        <v>0.23799999999999999</v>
      </c>
      <c r="AX110" s="15">
        <v>2.23</v>
      </c>
      <c r="AY110" s="15">
        <v>0.1203</v>
      </c>
      <c r="AZ110" s="15">
        <v>1.9670000000000001</v>
      </c>
      <c r="BA110" s="15">
        <v>0.1832</v>
      </c>
      <c r="BB110" s="15">
        <v>2.0960000000000001</v>
      </c>
      <c r="BC110" s="15">
        <v>0.16719999999999999</v>
      </c>
      <c r="BD110" s="15"/>
      <c r="BE110" s="15"/>
      <c r="BF110" s="15"/>
      <c r="BG110" s="15"/>
      <c r="BH110" s="15"/>
      <c r="BI110" s="15"/>
      <c r="BJ110" s="15"/>
      <c r="BK110" s="15">
        <v>0.86319999999999997</v>
      </c>
      <c r="BL110" s="15" t="s">
        <v>124</v>
      </c>
    </row>
    <row r="111" spans="1:64" ht="15.75" customHeight="1" x14ac:dyDescent="0.2">
      <c r="A111" s="2" t="s">
        <v>133</v>
      </c>
      <c r="B111" s="54" t="s">
        <v>64</v>
      </c>
      <c r="C111" s="60">
        <v>2383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</v>
      </c>
      <c r="V111" s="15">
        <v>7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0.11169999999999999</v>
      </c>
      <c r="AX111" s="15">
        <v>2.16</v>
      </c>
      <c r="AY111" s="15">
        <v>0.10100000000000001</v>
      </c>
      <c r="AZ111" s="15">
        <v>2.4409999999999998</v>
      </c>
      <c r="BA111" s="15">
        <v>8.8999999999999996E-2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0.55379999999999996</v>
      </c>
      <c r="BL111" s="9"/>
    </row>
    <row r="112" spans="1:64" ht="15.75" customHeight="1" x14ac:dyDescent="0.2">
      <c r="A112" s="2" t="s">
        <v>133</v>
      </c>
      <c r="B112" s="54" t="s">
        <v>64</v>
      </c>
      <c r="C112" s="57">
        <v>2384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2.1970000000000001</v>
      </c>
      <c r="AW112" s="15">
        <v>3.3700000000000001E-2</v>
      </c>
      <c r="AX112" s="15">
        <v>2.23</v>
      </c>
      <c r="AY112" s="15">
        <v>4.82E-2</v>
      </c>
      <c r="AZ112" s="15">
        <v>2.16</v>
      </c>
      <c r="BA112" s="15">
        <v>6.3700000000000007E-2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0.29609999999999997</v>
      </c>
      <c r="BL112" s="9"/>
    </row>
    <row r="113" spans="1:64" ht="15.75" customHeight="1" x14ac:dyDescent="0.2">
      <c r="A113" s="57" t="s">
        <v>114</v>
      </c>
      <c r="B113" s="54" t="s">
        <v>142</v>
      </c>
      <c r="C113" t="s">
        <v>261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2.1309999999999998</v>
      </c>
      <c r="AW113" s="15">
        <v>0.4783</v>
      </c>
      <c r="AX113" s="15">
        <v>2.4420000000000002</v>
      </c>
      <c r="AY113" s="15">
        <v>0.75360000000000005</v>
      </c>
      <c r="AZ113" s="15">
        <v>2.2890000000000001</v>
      </c>
      <c r="BA113" s="15">
        <v>0.70489999999999997</v>
      </c>
      <c r="BB113" s="15">
        <v>2.4359999999999999</v>
      </c>
      <c r="BC113" s="15">
        <v>0.75929999999999997</v>
      </c>
      <c r="BD113" s="15">
        <v>2.629</v>
      </c>
      <c r="BE113" s="15">
        <v>0.36630000000000001</v>
      </c>
      <c r="BF113" s="15">
        <v>2.1419999999999999</v>
      </c>
      <c r="BG113" s="15">
        <v>0.56000000000000005</v>
      </c>
      <c r="BH113" s="15">
        <v>2.1379999999999999</v>
      </c>
      <c r="BI113" s="15">
        <v>0.47249999999999998</v>
      </c>
      <c r="BJ113" s="9"/>
      <c r="BK113" s="9"/>
      <c r="BL113" s="9"/>
    </row>
    <row r="114" spans="1:64" ht="15.75" customHeight="1" x14ac:dyDescent="0.2">
      <c r="A114" s="57" t="s">
        <v>114</v>
      </c>
      <c r="B114" s="54" t="s">
        <v>348</v>
      </c>
      <c r="C114" t="s">
        <v>261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0.19189999999999999</v>
      </c>
      <c r="AX114" s="15">
        <v>1.76</v>
      </c>
      <c r="AY114" s="15">
        <v>0.26419999999999999</v>
      </c>
      <c r="AZ114" s="15">
        <v>1.74</v>
      </c>
      <c r="BA114" s="15">
        <v>0.2412</v>
      </c>
      <c r="BB114" s="15">
        <v>1.7230000000000001</v>
      </c>
      <c r="BC114" s="15">
        <v>0.24479999999999999</v>
      </c>
      <c r="BD114" s="15">
        <v>1.95</v>
      </c>
      <c r="BE114" s="15">
        <v>0.21990000000000001</v>
      </c>
      <c r="BF114" s="15">
        <v>1.4379999999999999</v>
      </c>
      <c r="BG114" s="15">
        <v>0.20080000000000001</v>
      </c>
      <c r="BH114" s="15">
        <v>1.41</v>
      </c>
      <c r="BI114" s="15">
        <v>0.35370000000000001</v>
      </c>
      <c r="BJ114" s="9"/>
      <c r="BK114" s="9"/>
      <c r="BL114" s="9"/>
    </row>
    <row r="115" spans="1:64" ht="15.75" customHeight="1" x14ac:dyDescent="0.2">
      <c r="A115" s="57" t="s">
        <v>127</v>
      </c>
      <c r="B115" s="54" t="s">
        <v>58</v>
      </c>
      <c r="C115" s="57">
        <v>2093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ht="15.75" customHeight="1" x14ac:dyDescent="0.2">
      <c r="A116" s="57" t="s">
        <v>127</v>
      </c>
      <c r="B116" s="54" t="s">
        <v>58</v>
      </c>
      <c r="C116" s="57">
        <v>2092</v>
      </c>
      <c r="F116" s="2"/>
      <c r="G116" s="57">
        <v>146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spans="1:64" ht="15.75" customHeight="1" x14ac:dyDescent="0.2">
      <c r="A117" s="57" t="s">
        <v>127</v>
      </c>
      <c r="B117" s="54" t="s">
        <v>58</v>
      </c>
      <c r="C117" s="57">
        <v>2091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spans="1:64" ht="15.75" customHeight="1" x14ac:dyDescent="0.2">
      <c r="A118" s="57" t="s">
        <v>127</v>
      </c>
      <c r="B118" s="54" t="s">
        <v>64</v>
      </c>
      <c r="C118" s="57">
        <v>2090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spans="1:64" ht="15.75" customHeight="1" x14ac:dyDescent="0.2">
      <c r="A119" s="57" t="s">
        <v>127</v>
      </c>
      <c r="B119" s="54" t="s">
        <v>58</v>
      </c>
      <c r="C119" s="57">
        <v>2089</v>
      </c>
      <c r="F119" s="2"/>
      <c r="G119" s="57">
        <v>167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spans="1:64" ht="15.75" customHeight="1" x14ac:dyDescent="0.2">
      <c r="A120" s="57" t="s">
        <v>127</v>
      </c>
      <c r="B120" s="54" t="s">
        <v>64</v>
      </c>
      <c r="C120" s="57">
        <v>2088</v>
      </c>
      <c r="F120" s="2"/>
      <c r="G120" s="57">
        <v>67</v>
      </c>
      <c r="J120" s="39">
        <v>1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spans="1:64" ht="15.75" customHeight="1" x14ac:dyDescent="0.2">
      <c r="A121" s="57" t="s">
        <v>127</v>
      </c>
      <c r="B121" s="54" t="s">
        <v>64</v>
      </c>
      <c r="C121" s="57">
        <v>2087</v>
      </c>
      <c r="F121" s="2"/>
      <c r="G121" s="57">
        <v>73.2</v>
      </c>
      <c r="J121" s="39">
        <v>1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spans="1:64" ht="15.75" customHeight="1" x14ac:dyDescent="0.2">
      <c r="A122" s="57" t="s">
        <v>127</v>
      </c>
      <c r="B122" s="54" t="s">
        <v>64</v>
      </c>
      <c r="C122" s="57">
        <v>2086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spans="1:64" ht="15.75" customHeight="1" x14ac:dyDescent="0.2">
      <c r="A123" s="57" t="s">
        <v>127</v>
      </c>
      <c r="B123" s="54" t="s">
        <v>64</v>
      </c>
      <c r="C123" s="57">
        <v>2085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spans="1:64" ht="15.75" customHeight="1" x14ac:dyDescent="0.2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spans="1:64" ht="15.75" customHeight="1" x14ac:dyDescent="0.2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spans="1:64" ht="15.75" customHeight="1" x14ac:dyDescent="0.2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spans="1:64" ht="15.75" customHeight="1" x14ac:dyDescent="0.2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spans="1:64" ht="15.75" customHeight="1" x14ac:dyDescent="0.2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spans="2:64" ht="15.75" customHeight="1" x14ac:dyDescent="0.2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spans="2:64" ht="15.75" customHeight="1" x14ac:dyDescent="0.2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spans="2:64" ht="15.75" customHeight="1" x14ac:dyDescent="0.2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spans="2:64" ht="15.75" customHeight="1" x14ac:dyDescent="0.2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spans="2:64" ht="15.75" customHeight="1" x14ac:dyDescent="0.2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spans="2:64" ht="15.75" customHeight="1" x14ac:dyDescent="0.2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spans="2:64" ht="15.75" customHeight="1" x14ac:dyDescent="0.2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spans="2:64" ht="15.75" customHeight="1" x14ac:dyDescent="0.2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spans="2:64" ht="15.75" customHeight="1" x14ac:dyDescent="0.2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spans="2:64" ht="15.75" customHeight="1" x14ac:dyDescent="0.2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spans="2:64" ht="15.75" customHeight="1" x14ac:dyDescent="0.2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spans="2:64" ht="15.75" customHeight="1" x14ac:dyDescent="0.2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spans="2:64" ht="15.75" customHeight="1" x14ac:dyDescent="0.2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spans="2:64" ht="15.75" customHeight="1" x14ac:dyDescent="0.2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spans="2:64" ht="15.75" customHeight="1" x14ac:dyDescent="0.2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spans="2:64" ht="15.75" customHeight="1" x14ac:dyDescent="0.2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spans="2:64" ht="15.75" customHeight="1" x14ac:dyDescent="0.2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spans="2:64" ht="15.75" customHeight="1" x14ac:dyDescent="0.2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spans="2:64" ht="15.75" customHeight="1" x14ac:dyDescent="0.2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spans="2:64" ht="15.75" customHeight="1" x14ac:dyDescent="0.2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spans="2:64" ht="15.75" customHeight="1" x14ac:dyDescent="0.2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spans="2:64" ht="15.75" customHeight="1" x14ac:dyDescent="0.2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spans="2:64" ht="15.75" customHeight="1" x14ac:dyDescent="0.2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spans="2:64" ht="15.75" customHeight="1" x14ac:dyDescent="0.2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spans="2:64" ht="15.75" customHeight="1" x14ac:dyDescent="0.2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spans="2:64" ht="15.75" customHeight="1" x14ac:dyDescent="0.2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spans="2:64" ht="15.75" customHeight="1" x14ac:dyDescent="0.2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spans="2:64" ht="15.75" customHeight="1" x14ac:dyDescent="0.2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spans="2:64" ht="15.75" customHeight="1" x14ac:dyDescent="0.2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spans="2:64" ht="15.75" customHeight="1" x14ac:dyDescent="0.2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spans="2:64" ht="15.75" customHeight="1" x14ac:dyDescent="0.2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spans="2:64" ht="15.75" customHeight="1" x14ac:dyDescent="0.2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spans="2:64" ht="15.75" customHeight="1" x14ac:dyDescent="0.2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spans="2:64" ht="15.75" customHeight="1" x14ac:dyDescent="0.2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spans="2:64" ht="15.75" customHeight="1" x14ac:dyDescent="0.2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spans="2:64" ht="15.75" customHeight="1" x14ac:dyDescent="0.2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spans="2:64" ht="15.75" customHeight="1" x14ac:dyDescent="0.2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spans="2:64" ht="15.75" customHeight="1" x14ac:dyDescent="0.2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spans="2:64" ht="15.75" customHeight="1" x14ac:dyDescent="0.2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spans="2:64" ht="15.75" customHeight="1" x14ac:dyDescent="0.2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spans="2:64" ht="15.75" customHeight="1" x14ac:dyDescent="0.2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spans="2:64" ht="15.75" customHeight="1" x14ac:dyDescent="0.2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spans="2:64" ht="15.75" customHeight="1" x14ac:dyDescent="0.2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spans="2:64" ht="15.75" customHeight="1" x14ac:dyDescent="0.2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spans="2:64" ht="15.75" customHeight="1" x14ac:dyDescent="0.2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spans="2:64" ht="15.75" customHeight="1" x14ac:dyDescent="0.2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spans="2:64" ht="15.75" customHeight="1" x14ac:dyDescent="0.2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spans="2:64" ht="15.75" customHeight="1" x14ac:dyDescent="0.2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spans="2:64" ht="15.75" customHeight="1" x14ac:dyDescent="0.2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spans="2:64" ht="15.75" customHeight="1" x14ac:dyDescent="0.2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spans="2:64" ht="15.75" customHeight="1" x14ac:dyDescent="0.2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spans="2:64" ht="15.75" customHeight="1" x14ac:dyDescent="0.2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spans="2:64" ht="15.75" customHeight="1" x14ac:dyDescent="0.2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spans="2:64" ht="15.75" customHeight="1" x14ac:dyDescent="0.2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spans="2:64" ht="15.75" customHeight="1" x14ac:dyDescent="0.2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spans="2:64" ht="15.75" customHeight="1" x14ac:dyDescent="0.2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spans="2:64" ht="15.75" customHeight="1" x14ac:dyDescent="0.2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spans="2:64" ht="15.75" customHeight="1" x14ac:dyDescent="0.2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spans="2:64" ht="15.75" customHeight="1" x14ac:dyDescent="0.2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spans="2:64" ht="15.75" customHeight="1" x14ac:dyDescent="0.2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spans="2:64" ht="15.75" customHeight="1" x14ac:dyDescent="0.2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spans="2:64" ht="15.75" customHeight="1" x14ac:dyDescent="0.2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spans="2:64" ht="15.75" customHeight="1" x14ac:dyDescent="0.2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spans="2:64" ht="15.75" customHeight="1" x14ac:dyDescent="0.2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spans="2:64" ht="15.75" customHeight="1" x14ac:dyDescent="0.2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spans="2:64" ht="15.75" customHeight="1" x14ac:dyDescent="0.2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spans="2:64" ht="15.75" customHeight="1" x14ac:dyDescent="0.2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spans="2:64" ht="15.75" customHeight="1" x14ac:dyDescent="0.2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spans="2:64" ht="15.75" customHeight="1" x14ac:dyDescent="0.2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spans="2:64" ht="15.75" customHeight="1" x14ac:dyDescent="0.2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spans="2:64" ht="15.75" customHeight="1" x14ac:dyDescent="0.2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spans="2:64" ht="15.75" customHeight="1" x14ac:dyDescent="0.2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spans="2:64" ht="15.75" customHeight="1" x14ac:dyDescent="0.2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spans="2:64" ht="15.75" customHeight="1" x14ac:dyDescent="0.2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spans="2:64" ht="15.75" customHeight="1" x14ac:dyDescent="0.2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spans="2:64" ht="15.75" customHeight="1" x14ac:dyDescent="0.2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spans="2:64" ht="15.75" customHeight="1" x14ac:dyDescent="0.2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spans="2:64" ht="15.75" customHeight="1" x14ac:dyDescent="0.2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spans="2:64" ht="15.75" customHeight="1" x14ac:dyDescent="0.2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spans="2:64" ht="15.75" customHeight="1" x14ac:dyDescent="0.2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spans="2:64" ht="15.75" customHeight="1" x14ac:dyDescent="0.2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spans="2:64" ht="15.75" customHeight="1" x14ac:dyDescent="0.2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spans="2:64" ht="15.75" customHeight="1" x14ac:dyDescent="0.2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spans="2:64" ht="15.75" customHeight="1" x14ac:dyDescent="0.2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spans="2:64" ht="15.75" customHeight="1" x14ac:dyDescent="0.2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spans="2:64" ht="15.75" customHeight="1" x14ac:dyDescent="0.2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spans="2:64" ht="15.75" customHeight="1" x14ac:dyDescent="0.2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spans="2:64" ht="15.75" customHeight="1" x14ac:dyDescent="0.2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spans="2:64" ht="15.75" customHeight="1" x14ac:dyDescent="0.2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spans="2:64" ht="15.75" customHeight="1" x14ac:dyDescent="0.2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spans="2:64" ht="15.75" customHeight="1" x14ac:dyDescent="0.2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spans="2:64" ht="15.75" customHeight="1" x14ac:dyDescent="0.2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spans="2:64" ht="15.75" customHeight="1" x14ac:dyDescent="0.2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spans="2:64" ht="15.75" customHeight="1" x14ac:dyDescent="0.2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spans="2:64" ht="15.75" customHeight="1" x14ac:dyDescent="0.2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spans="2:64" ht="15.75" customHeight="1" x14ac:dyDescent="0.2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spans="2:64" ht="15.75" customHeight="1" x14ac:dyDescent="0.2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spans="2:64" ht="15.75" customHeight="1" x14ac:dyDescent="0.2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spans="2:64" ht="15.75" customHeight="1" x14ac:dyDescent="0.2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spans="2:64" ht="15.75" customHeight="1" x14ac:dyDescent="0.2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spans="2:64" ht="15.75" customHeight="1" x14ac:dyDescent="0.2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spans="2:64" ht="15.75" customHeight="1" x14ac:dyDescent="0.2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spans="2:64" ht="15.75" customHeight="1" x14ac:dyDescent="0.2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spans="2:64" ht="15.75" customHeight="1" x14ac:dyDescent="0.2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spans="2:64" ht="15.75" customHeight="1" x14ac:dyDescent="0.2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spans="2:64" ht="15.75" customHeight="1" x14ac:dyDescent="0.2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spans="2:64" ht="15.75" customHeight="1" x14ac:dyDescent="0.2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spans="2:64" ht="15.75" customHeight="1" x14ac:dyDescent="0.2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spans="2:64" ht="15.75" customHeight="1" x14ac:dyDescent="0.2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spans="2:64" ht="15.75" customHeight="1" x14ac:dyDescent="0.2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spans="2:64" ht="15.75" customHeight="1" x14ac:dyDescent="0.2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spans="2:64" ht="15.75" customHeight="1" x14ac:dyDescent="0.2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spans="2:64" ht="15.75" customHeight="1" x14ac:dyDescent="0.2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spans="2:64" ht="15.75" customHeight="1" x14ac:dyDescent="0.2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spans="2:64" ht="15.75" customHeight="1" x14ac:dyDescent="0.2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spans="2:64" ht="15.75" customHeight="1" x14ac:dyDescent="0.2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spans="2:64" ht="15.75" customHeight="1" x14ac:dyDescent="0.2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spans="2:64" ht="15.75" customHeight="1" x14ac:dyDescent="0.2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spans="2:64" ht="15.75" customHeight="1" x14ac:dyDescent="0.2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spans="2:64" ht="15.75" customHeight="1" x14ac:dyDescent="0.2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spans="2:64" ht="15.75" customHeight="1" x14ac:dyDescent="0.2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spans="2:64" ht="15.75" customHeight="1" x14ac:dyDescent="0.2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spans="2:64" ht="15.75" customHeight="1" x14ac:dyDescent="0.2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spans="2:64" ht="15.75" customHeight="1" x14ac:dyDescent="0.2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spans="2:64" ht="15.75" customHeight="1" x14ac:dyDescent="0.2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spans="2:64" ht="15.75" customHeight="1" x14ac:dyDescent="0.2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spans="2:64" ht="15.75" customHeight="1" x14ac:dyDescent="0.2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spans="2:64" ht="15.75" customHeight="1" x14ac:dyDescent="0.2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spans="2:64" ht="15.75" customHeight="1" x14ac:dyDescent="0.2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spans="2:64" ht="15.75" customHeight="1" x14ac:dyDescent="0.2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spans="2:64" ht="15.75" customHeight="1" x14ac:dyDescent="0.2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spans="2:64" ht="15.75" customHeight="1" x14ac:dyDescent="0.2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spans="2:64" ht="15.75" customHeight="1" x14ac:dyDescent="0.2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spans="2:64" ht="15.75" customHeight="1" x14ac:dyDescent="0.2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spans="2:64" ht="15.75" customHeight="1" x14ac:dyDescent="0.2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spans="2:64" ht="15.75" customHeight="1" x14ac:dyDescent="0.2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spans="2:64" ht="15.75" customHeight="1" x14ac:dyDescent="0.2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spans="2:64" ht="15.75" customHeight="1" x14ac:dyDescent="0.2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spans="2:64" ht="15.75" customHeight="1" x14ac:dyDescent="0.2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spans="2:64" ht="15.75" customHeight="1" x14ac:dyDescent="0.2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spans="2:64" ht="15.75" customHeight="1" x14ac:dyDescent="0.2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spans="2:64" ht="15.75" customHeight="1" x14ac:dyDescent="0.2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spans="2:64" ht="15.75" customHeight="1" x14ac:dyDescent="0.2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spans="2:64" ht="15.75" customHeight="1" x14ac:dyDescent="0.2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spans="2:64" ht="15.75" customHeight="1" x14ac:dyDescent="0.2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spans="2:64" ht="15.75" customHeight="1" x14ac:dyDescent="0.2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spans="2:64" ht="15.75" customHeight="1" x14ac:dyDescent="0.2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spans="2:64" ht="15.75" customHeight="1" x14ac:dyDescent="0.2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spans="2:64" ht="15.75" customHeight="1" x14ac:dyDescent="0.2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spans="2:64" ht="15.75" customHeight="1" x14ac:dyDescent="0.2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spans="2:64" ht="15.75" customHeight="1" x14ac:dyDescent="0.2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spans="2:64" ht="15.75" customHeight="1" x14ac:dyDescent="0.2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spans="2:64" ht="15.75" customHeight="1" x14ac:dyDescent="0.2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spans="2:64" ht="15.75" customHeight="1" x14ac:dyDescent="0.2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spans="2:64" ht="15.75" customHeight="1" x14ac:dyDescent="0.2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spans="2:64" ht="15.75" customHeight="1" x14ac:dyDescent="0.2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spans="2:64" ht="15.75" customHeight="1" x14ac:dyDescent="0.2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spans="2:64" ht="15.75" customHeight="1" x14ac:dyDescent="0.2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spans="2:64" ht="15.75" customHeight="1" x14ac:dyDescent="0.2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spans="2:64" ht="15.75" customHeight="1" x14ac:dyDescent="0.2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spans="2:64" ht="15.75" customHeight="1" x14ac:dyDescent="0.2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spans="2:64" ht="15.75" customHeight="1" x14ac:dyDescent="0.2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spans="2:64" ht="15.75" customHeight="1" x14ac:dyDescent="0.2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spans="2:64" ht="15.75" customHeight="1" x14ac:dyDescent="0.2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spans="2:64" ht="15.75" customHeight="1" x14ac:dyDescent="0.2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spans="2:64" ht="15.75" customHeight="1" x14ac:dyDescent="0.2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spans="2:64" ht="15.75" customHeight="1" x14ac:dyDescent="0.2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spans="2:64" ht="15.75" customHeight="1" x14ac:dyDescent="0.2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spans="2:64" ht="15.75" customHeight="1" x14ac:dyDescent="0.2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spans="2:64" ht="15.75" customHeight="1" x14ac:dyDescent="0.2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spans="2:64" ht="15.75" customHeight="1" x14ac:dyDescent="0.2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spans="2:64" ht="15.75" customHeight="1" x14ac:dyDescent="0.2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spans="2:64" ht="15.75" customHeight="1" x14ac:dyDescent="0.2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spans="2:64" ht="15.75" customHeight="1" x14ac:dyDescent="0.2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spans="2:64" ht="15.75" customHeight="1" x14ac:dyDescent="0.2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spans="2:64" ht="15.75" customHeight="1" x14ac:dyDescent="0.2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spans="2:64" ht="15.75" customHeight="1" x14ac:dyDescent="0.2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spans="2:64" ht="15.75" customHeight="1" x14ac:dyDescent="0.2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spans="2:64" ht="15.75" customHeight="1" x14ac:dyDescent="0.2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spans="2:64" ht="15.75" customHeight="1" x14ac:dyDescent="0.2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spans="2:64" ht="15.75" customHeight="1" x14ac:dyDescent="0.2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spans="2:64" ht="15.75" customHeight="1" x14ac:dyDescent="0.2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spans="2:64" ht="15.75" customHeight="1" x14ac:dyDescent="0.2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spans="2:64" ht="15.75" customHeight="1" x14ac:dyDescent="0.2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spans="2:64" ht="15.75" customHeight="1" x14ac:dyDescent="0.2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spans="2:64" ht="15.75" customHeight="1" x14ac:dyDescent="0.2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spans="2:64" ht="15.75" customHeight="1" x14ac:dyDescent="0.2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spans="2:64" ht="15.75" customHeight="1" x14ac:dyDescent="0.2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spans="2:64" ht="15.75" customHeight="1" x14ac:dyDescent="0.2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spans="2:64" ht="15.75" customHeight="1" x14ac:dyDescent="0.2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spans="2:64" ht="15.75" customHeight="1" x14ac:dyDescent="0.2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spans="2:64" ht="15.75" customHeight="1" x14ac:dyDescent="0.2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spans="21:64" ht="15.75" customHeight="1" x14ac:dyDescent="0.2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spans="21:64" ht="15.75" customHeight="1" x14ac:dyDescent="0.2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spans="21:64" ht="15.75" customHeight="1" x14ac:dyDescent="0.2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spans="21:64" ht="15.75" customHeight="1" x14ac:dyDescent="0.2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spans="21:64" ht="15.75" customHeight="1" x14ac:dyDescent="0.2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spans="21:64" ht="15.75" customHeight="1" x14ac:dyDescent="0.2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spans="21:64" ht="15.75" customHeight="1" x14ac:dyDescent="0.2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spans="21:64" ht="15.75" customHeight="1" x14ac:dyDescent="0.2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spans="21:64" ht="15.75" customHeight="1" x14ac:dyDescent="0.2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spans="21:64" ht="15.75" customHeight="1" x14ac:dyDescent="0.2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spans="21:64" ht="15.75" customHeight="1" x14ac:dyDescent="0.2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spans="21:64" ht="15.75" customHeight="1" x14ac:dyDescent="0.2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spans="21:64" ht="15.75" customHeight="1" x14ac:dyDescent="0.2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spans="21:64" ht="15.75" customHeight="1" x14ac:dyDescent="0.2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spans="21:64" ht="15.75" customHeight="1" x14ac:dyDescent="0.2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spans="21:64" ht="15.75" customHeight="1" x14ac:dyDescent="0.2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spans="21:64" ht="15.75" customHeight="1" x14ac:dyDescent="0.2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spans="21:64" ht="15.75" customHeight="1" x14ac:dyDescent="0.2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spans="21:64" ht="15.75" customHeight="1" x14ac:dyDescent="0.2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spans="21:64" ht="15.75" customHeight="1" x14ac:dyDescent="0.2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spans="21:64" ht="15.75" customHeight="1" x14ac:dyDescent="0.2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spans="21:64" ht="15.75" customHeight="1" x14ac:dyDescent="0.2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spans="21:64" ht="15.75" customHeight="1" x14ac:dyDescent="0.2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spans="21:64" ht="15.75" customHeight="1" x14ac:dyDescent="0.2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spans="21:64" ht="15.75" customHeight="1" x14ac:dyDescent="0.2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spans="21:64" ht="15.75" customHeight="1" x14ac:dyDescent="0.2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spans="21:64" ht="15.75" customHeight="1" x14ac:dyDescent="0.2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spans="21:64" ht="15.75" customHeight="1" x14ac:dyDescent="0.2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spans="21:64" ht="15.75" customHeight="1" x14ac:dyDescent="0.2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spans="21:64" ht="15.75" customHeight="1" x14ac:dyDescent="0.2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spans="21:64" ht="15.75" customHeight="1" x14ac:dyDescent="0.2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spans="21:64" ht="15.75" customHeight="1" x14ac:dyDescent="0.2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spans="21:64" ht="15.75" customHeight="1" x14ac:dyDescent="0.2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spans="21:64" ht="15.75" customHeight="1" x14ac:dyDescent="0.2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spans="21:64" ht="15.75" customHeight="1" x14ac:dyDescent="0.2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spans="21:64" ht="15.75" customHeight="1" x14ac:dyDescent="0.2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spans="21:64" ht="15.75" customHeight="1" x14ac:dyDescent="0.2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spans="21:64" ht="15.75" customHeight="1" x14ac:dyDescent="0.2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spans="21:64" ht="15.75" customHeight="1" x14ac:dyDescent="0.2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spans="21:64" ht="15.75" customHeight="1" x14ac:dyDescent="0.2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spans="21:64" ht="15.75" customHeight="1" x14ac:dyDescent="0.2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spans="21:64" ht="15.75" customHeight="1" x14ac:dyDescent="0.2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spans="21:64" ht="15.75" customHeight="1" x14ac:dyDescent="0.2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spans="21:64" ht="15.75" customHeight="1" x14ac:dyDescent="0.2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spans="21:64" ht="15.75" customHeight="1" x14ac:dyDescent="0.2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spans="21:64" ht="15.75" customHeight="1" x14ac:dyDescent="0.2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spans="21:64" ht="15.75" customHeight="1" x14ac:dyDescent="0.2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spans="21:64" ht="15.75" customHeight="1" x14ac:dyDescent="0.2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spans="21:64" ht="15.75" customHeight="1" x14ac:dyDescent="0.2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spans="21:64" ht="15.75" customHeight="1" x14ac:dyDescent="0.2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spans="21:64" ht="15.75" customHeight="1" x14ac:dyDescent="0.2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spans="21:64" ht="15.75" customHeight="1" x14ac:dyDescent="0.2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spans="21:64" ht="15.75" customHeight="1" x14ac:dyDescent="0.2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spans="21:64" ht="15.75" customHeight="1" x14ac:dyDescent="0.2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spans="21:64" ht="15.75" customHeight="1" x14ac:dyDescent="0.2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spans="21:64" ht="15.75" customHeight="1" x14ac:dyDescent="0.2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spans="21:64" ht="15.75" customHeight="1" x14ac:dyDescent="0.2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spans="21:64" ht="15.75" customHeight="1" x14ac:dyDescent="0.2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spans="21:64" ht="15.75" customHeight="1" x14ac:dyDescent="0.2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spans="21:64" ht="15.75" customHeight="1" x14ac:dyDescent="0.2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spans="21:64" ht="15.75" customHeight="1" x14ac:dyDescent="0.2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spans="21:64" ht="15.75" customHeight="1" x14ac:dyDescent="0.2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spans="21:64" ht="15.75" customHeight="1" x14ac:dyDescent="0.2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spans="21:64" ht="15.75" customHeight="1" x14ac:dyDescent="0.2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spans="21:64" ht="15.75" customHeight="1" x14ac:dyDescent="0.2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spans="21:64" ht="15.75" customHeight="1" x14ac:dyDescent="0.2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spans="21:64" ht="15.75" customHeight="1" x14ac:dyDescent="0.2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spans="21:64" ht="15.75" customHeight="1" x14ac:dyDescent="0.2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spans="21:64" ht="15.75" customHeight="1" x14ac:dyDescent="0.2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spans="21:64" ht="15.75" customHeight="1" x14ac:dyDescent="0.2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spans="21:64" ht="15.75" customHeight="1" x14ac:dyDescent="0.2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spans="21:64" ht="15.75" customHeight="1" x14ac:dyDescent="0.2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spans="21:64" ht="15.75" customHeight="1" x14ac:dyDescent="0.2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spans="21:64" ht="15.75" customHeight="1" x14ac:dyDescent="0.2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spans="21:64" ht="15.75" customHeight="1" x14ac:dyDescent="0.2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spans="21:64" ht="15.75" customHeight="1" x14ac:dyDescent="0.2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spans="21:64" ht="15.75" customHeight="1" x14ac:dyDescent="0.2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spans="21:64" ht="15.75" customHeight="1" x14ac:dyDescent="0.2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spans="21:64" ht="15.75" customHeight="1" x14ac:dyDescent="0.2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spans="21:64" ht="15.75" customHeight="1" x14ac:dyDescent="0.2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spans="21:64" ht="15.75" customHeight="1" x14ac:dyDescent="0.2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spans="21:64" ht="15.75" customHeight="1" x14ac:dyDescent="0.2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spans="21:64" ht="15.75" customHeight="1" x14ac:dyDescent="0.2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spans="21:64" ht="15.75" customHeight="1" x14ac:dyDescent="0.2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spans="21:64" ht="15.75" customHeight="1" x14ac:dyDescent="0.2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spans="21:64" ht="15.75" customHeight="1" x14ac:dyDescent="0.2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spans="21:64" ht="15.75" customHeight="1" x14ac:dyDescent="0.2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spans="21:64" ht="15.75" customHeight="1" x14ac:dyDescent="0.2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spans="21:64" ht="15.75" customHeight="1" x14ac:dyDescent="0.2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spans="21:64" ht="15.75" customHeight="1" x14ac:dyDescent="0.2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spans="21:64" ht="15.75" customHeight="1" x14ac:dyDescent="0.2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spans="21:64" ht="15.75" customHeight="1" x14ac:dyDescent="0.2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spans="21:64" ht="15.75" customHeight="1" x14ac:dyDescent="0.2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spans="21:64" ht="15.75" customHeight="1" x14ac:dyDescent="0.2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spans="21:64" ht="15.75" customHeight="1" x14ac:dyDescent="0.2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spans="21:64" ht="15.75" customHeight="1" x14ac:dyDescent="0.2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spans="21:64" ht="15.75" customHeight="1" x14ac:dyDescent="0.2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spans="21:64" ht="15.75" customHeight="1" x14ac:dyDescent="0.2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spans="21:64" ht="15.75" customHeight="1" x14ac:dyDescent="0.2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spans="21:64" ht="15.75" customHeight="1" x14ac:dyDescent="0.2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spans="21:64" ht="15.75" customHeight="1" x14ac:dyDescent="0.2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spans="21:64" ht="15.75" customHeight="1" x14ac:dyDescent="0.2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spans="21:64" ht="15.75" customHeight="1" x14ac:dyDescent="0.2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spans="21:64" ht="15.75" customHeight="1" x14ac:dyDescent="0.2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spans="21:64" ht="15.75" customHeight="1" x14ac:dyDescent="0.2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spans="21:64" ht="15.75" customHeight="1" x14ac:dyDescent="0.2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spans="21:64" ht="15.75" customHeight="1" x14ac:dyDescent="0.2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spans="21:64" ht="15.75" customHeight="1" x14ac:dyDescent="0.2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spans="21:64" ht="15.75" customHeight="1" x14ac:dyDescent="0.2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spans="21:64" ht="15.75" customHeight="1" x14ac:dyDescent="0.2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spans="21:64" ht="15.75" customHeight="1" x14ac:dyDescent="0.2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spans="21:64" ht="15.75" customHeight="1" x14ac:dyDescent="0.2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spans="21:64" ht="15.75" customHeight="1" x14ac:dyDescent="0.2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spans="21:64" ht="15.75" customHeight="1" x14ac:dyDescent="0.2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spans="21:64" ht="15.75" customHeight="1" x14ac:dyDescent="0.2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spans="21:64" ht="15.75" customHeight="1" x14ac:dyDescent="0.2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spans="21:64" ht="15.75" customHeight="1" x14ac:dyDescent="0.2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spans="21:64" ht="15.75" customHeight="1" x14ac:dyDescent="0.2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spans="21:64" ht="15.75" customHeight="1" x14ac:dyDescent="0.2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spans="21:64" ht="15.75" customHeight="1" x14ac:dyDescent="0.2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spans="21:64" ht="15.75" customHeight="1" x14ac:dyDescent="0.2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spans="21:64" ht="15.75" customHeight="1" x14ac:dyDescent="0.2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spans="21:64" ht="15.75" customHeight="1" x14ac:dyDescent="0.2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spans="21:64" ht="15.75" customHeight="1" x14ac:dyDescent="0.2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spans="21:64" ht="15.75" customHeight="1" x14ac:dyDescent="0.2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spans="21:64" ht="15.75" customHeight="1" x14ac:dyDescent="0.2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spans="21:64" ht="15.75" customHeight="1" x14ac:dyDescent="0.2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spans="21:64" ht="15.75" customHeight="1" x14ac:dyDescent="0.2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spans="21:64" ht="15.75" customHeight="1" x14ac:dyDescent="0.2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spans="21:64" ht="15.75" customHeight="1" x14ac:dyDescent="0.2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spans="21:64" ht="15.75" customHeight="1" x14ac:dyDescent="0.2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spans="21:64" ht="15.75" customHeight="1" x14ac:dyDescent="0.2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spans="21:64" ht="15.75" customHeight="1" x14ac:dyDescent="0.2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spans="21:64" ht="15.75" customHeight="1" x14ac:dyDescent="0.2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spans="21:64" ht="15.75" customHeight="1" x14ac:dyDescent="0.2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spans="21:64" ht="15.75" customHeight="1" x14ac:dyDescent="0.2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spans="21:64" ht="15.75" customHeight="1" x14ac:dyDescent="0.2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spans="21:64" ht="15.75" customHeight="1" x14ac:dyDescent="0.2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spans="21:64" ht="15.75" customHeight="1" x14ac:dyDescent="0.2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spans="21:64" ht="15.75" customHeight="1" x14ac:dyDescent="0.2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spans="21:64" ht="15.75" customHeight="1" x14ac:dyDescent="0.2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spans="21:64" ht="15.75" customHeight="1" x14ac:dyDescent="0.2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spans="21:64" ht="15.75" customHeight="1" x14ac:dyDescent="0.2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spans="21:64" ht="15.75" customHeight="1" x14ac:dyDescent="0.2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spans="21:64" ht="15.75" customHeight="1" x14ac:dyDescent="0.2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spans="21:64" ht="15.75" customHeight="1" x14ac:dyDescent="0.2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spans="21:64" ht="15.75" customHeight="1" x14ac:dyDescent="0.2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spans="21:64" ht="15.75" customHeight="1" x14ac:dyDescent="0.2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spans="21:64" ht="15.75" customHeight="1" x14ac:dyDescent="0.2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spans="21:64" ht="15.75" customHeight="1" x14ac:dyDescent="0.2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spans="21:64" ht="15.75" customHeight="1" x14ac:dyDescent="0.2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spans="21:64" ht="15.75" customHeight="1" x14ac:dyDescent="0.2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spans="21:64" ht="15.75" customHeight="1" x14ac:dyDescent="0.2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spans="21:64" ht="15.75" customHeight="1" x14ac:dyDescent="0.2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spans="21:64" ht="15.75" customHeight="1" x14ac:dyDescent="0.2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spans="21:64" ht="15.75" customHeight="1" x14ac:dyDescent="0.2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spans="21:64" ht="15.75" customHeight="1" x14ac:dyDescent="0.2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spans="21:64" ht="15.75" customHeight="1" x14ac:dyDescent="0.2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spans="21:64" ht="15.75" customHeight="1" x14ac:dyDescent="0.2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spans="21:64" ht="15.75" customHeight="1" x14ac:dyDescent="0.2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spans="21:64" ht="15.75" customHeight="1" x14ac:dyDescent="0.2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spans="21:64" ht="15.75" customHeight="1" x14ac:dyDescent="0.2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spans="21:64" ht="15.75" customHeight="1" x14ac:dyDescent="0.2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spans="21:64" ht="15.75" customHeight="1" x14ac:dyDescent="0.2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spans="21:64" ht="15.75" customHeight="1" x14ac:dyDescent="0.2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spans="21:64" ht="15.75" customHeight="1" x14ac:dyDescent="0.2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spans="21:64" ht="15.75" customHeight="1" x14ac:dyDescent="0.2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spans="21:64" ht="15.75" customHeight="1" x14ac:dyDescent="0.2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spans="21:64" ht="15.75" customHeight="1" x14ac:dyDescent="0.2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spans="21:64" ht="15.75" customHeight="1" x14ac:dyDescent="0.2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spans="21:64" ht="15.75" customHeight="1" x14ac:dyDescent="0.2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spans="21:64" ht="15.75" customHeight="1" x14ac:dyDescent="0.2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spans="21:64" ht="15.75" customHeight="1" x14ac:dyDescent="0.2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spans="21:64" ht="15.75" customHeight="1" x14ac:dyDescent="0.2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spans="21:64" ht="15.75" customHeight="1" x14ac:dyDescent="0.2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spans="21:64" ht="15.75" customHeight="1" x14ac:dyDescent="0.2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spans="21:64" ht="15.75" customHeight="1" x14ac:dyDescent="0.2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spans="21:64" ht="15.75" customHeight="1" x14ac:dyDescent="0.2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spans="21:64" ht="15.75" customHeight="1" x14ac:dyDescent="0.2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spans="21:64" ht="15.75" customHeight="1" x14ac:dyDescent="0.2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spans="21:64" ht="15.75" customHeight="1" x14ac:dyDescent="0.2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spans="21:64" ht="15.75" customHeight="1" x14ac:dyDescent="0.2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spans="21:64" ht="15.75" customHeight="1" x14ac:dyDescent="0.2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spans="21:64" ht="15.75" customHeight="1" x14ac:dyDescent="0.2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spans="21:64" ht="15.75" customHeight="1" x14ac:dyDescent="0.2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spans="21:64" ht="15.75" customHeight="1" x14ac:dyDescent="0.2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spans="21:64" ht="15.75" customHeight="1" x14ac:dyDescent="0.2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spans="21:64" ht="15.75" customHeight="1" x14ac:dyDescent="0.2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spans="21:64" ht="15.75" customHeight="1" x14ac:dyDescent="0.2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spans="21:64" ht="15.75" customHeight="1" x14ac:dyDescent="0.2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spans="21:64" ht="15.75" customHeight="1" x14ac:dyDescent="0.2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spans="21:64" ht="15.75" customHeight="1" x14ac:dyDescent="0.2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spans="21:64" ht="15.75" customHeight="1" x14ac:dyDescent="0.2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spans="21:64" ht="15.75" customHeight="1" x14ac:dyDescent="0.2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spans="21:64" ht="15.75" customHeight="1" x14ac:dyDescent="0.2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spans="21:64" ht="15.75" customHeight="1" x14ac:dyDescent="0.2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spans="21:64" ht="15.75" customHeight="1" x14ac:dyDescent="0.2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spans="21:64" ht="15.75" customHeight="1" x14ac:dyDescent="0.2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spans="21:64" ht="15.75" customHeight="1" x14ac:dyDescent="0.2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spans="21:64" ht="15.75" customHeight="1" x14ac:dyDescent="0.2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spans="21:64" ht="15.75" customHeight="1" x14ac:dyDescent="0.2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spans="21:64" ht="15.75" customHeight="1" x14ac:dyDescent="0.2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spans="21:64" ht="15.75" customHeight="1" x14ac:dyDescent="0.2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spans="21:64" ht="15.75" customHeight="1" x14ac:dyDescent="0.2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spans="21:64" ht="15.75" customHeight="1" x14ac:dyDescent="0.2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spans="21:64" ht="15.75" customHeight="1" x14ac:dyDescent="0.2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spans="21:64" ht="15.75" customHeight="1" x14ac:dyDescent="0.2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spans="21:64" ht="15.75" customHeight="1" x14ac:dyDescent="0.2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spans="21:64" ht="15.75" customHeight="1" x14ac:dyDescent="0.2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spans="21:64" ht="15.75" customHeight="1" x14ac:dyDescent="0.2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spans="21:64" ht="15.75" customHeight="1" x14ac:dyDescent="0.2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spans="21:64" ht="15.75" customHeight="1" x14ac:dyDescent="0.2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spans="21:64" ht="15.75" customHeight="1" x14ac:dyDescent="0.2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spans="21:64" ht="15.75" customHeight="1" x14ac:dyDescent="0.2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spans="21:64" ht="15.75" customHeight="1" x14ac:dyDescent="0.2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spans="21:64" ht="15.75" customHeight="1" x14ac:dyDescent="0.2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spans="21:64" ht="15.75" customHeight="1" x14ac:dyDescent="0.2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spans="21:64" ht="15.75" customHeight="1" x14ac:dyDescent="0.2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spans="21:64" ht="15.75" customHeight="1" x14ac:dyDescent="0.2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spans="21:64" ht="15.75" customHeight="1" x14ac:dyDescent="0.2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spans="21:64" ht="15.75" customHeight="1" x14ac:dyDescent="0.2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spans="21:64" ht="15.75" customHeight="1" x14ac:dyDescent="0.2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spans="21:64" ht="15.75" customHeight="1" x14ac:dyDescent="0.2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spans="21:64" ht="15.75" customHeight="1" x14ac:dyDescent="0.2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spans="21:64" ht="15.75" customHeight="1" x14ac:dyDescent="0.2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spans="21:64" ht="15.75" customHeight="1" x14ac:dyDescent="0.2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spans="21:64" ht="15.75" customHeight="1" x14ac:dyDescent="0.2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spans="21:64" ht="15.75" customHeight="1" x14ac:dyDescent="0.2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spans="21:64" ht="15.75" customHeight="1" x14ac:dyDescent="0.2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spans="21:64" ht="15.75" customHeight="1" x14ac:dyDescent="0.2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spans="21:64" ht="15.75" customHeight="1" x14ac:dyDescent="0.2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spans="21:64" ht="15.75" customHeight="1" x14ac:dyDescent="0.2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spans="21:64" ht="15.75" customHeight="1" x14ac:dyDescent="0.2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spans="21:64" ht="15.75" customHeight="1" x14ac:dyDescent="0.2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spans="21:64" ht="15.75" customHeight="1" x14ac:dyDescent="0.2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spans="21:64" ht="15.75" customHeight="1" x14ac:dyDescent="0.2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spans="21:64" ht="15.75" customHeight="1" x14ac:dyDescent="0.2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spans="21:64" ht="15.75" customHeight="1" x14ac:dyDescent="0.2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spans="21:64" ht="15.75" customHeight="1" x14ac:dyDescent="0.2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spans="21:64" ht="15.75" customHeight="1" x14ac:dyDescent="0.2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spans="21:64" ht="15.75" customHeight="1" x14ac:dyDescent="0.2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spans="21:64" ht="15.75" customHeight="1" x14ac:dyDescent="0.2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spans="21:64" ht="15.75" customHeight="1" x14ac:dyDescent="0.2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spans="21:64" ht="15.75" customHeight="1" x14ac:dyDescent="0.2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spans="21:64" ht="15.75" customHeight="1" x14ac:dyDescent="0.2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spans="21:64" ht="15.75" customHeight="1" x14ac:dyDescent="0.2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spans="21:64" ht="15.75" customHeight="1" x14ac:dyDescent="0.2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spans="21:64" ht="15.75" customHeight="1" x14ac:dyDescent="0.2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spans="21:64" ht="15.75" customHeight="1" x14ac:dyDescent="0.2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spans="21:64" ht="15.75" customHeight="1" x14ac:dyDescent="0.2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spans="21:64" ht="15.75" customHeight="1" x14ac:dyDescent="0.2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spans="21:64" ht="15.75" customHeight="1" x14ac:dyDescent="0.2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spans="21:64" ht="15.75" customHeight="1" x14ac:dyDescent="0.2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spans="21:64" ht="15.75" customHeight="1" x14ac:dyDescent="0.2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spans="21:64" ht="15.75" customHeight="1" x14ac:dyDescent="0.2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spans="21:64" ht="15.75" customHeight="1" x14ac:dyDescent="0.2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spans="21:64" ht="15.75" customHeight="1" x14ac:dyDescent="0.2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spans="21:64" ht="15.75" customHeight="1" x14ac:dyDescent="0.2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spans="21:64" ht="15.75" customHeight="1" x14ac:dyDescent="0.2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spans="21:64" ht="15.75" customHeight="1" x14ac:dyDescent="0.2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spans="21:64" ht="15.75" customHeight="1" x14ac:dyDescent="0.2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spans="21:64" ht="15.75" customHeight="1" x14ac:dyDescent="0.2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spans="21:64" ht="15.75" customHeight="1" x14ac:dyDescent="0.2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spans="21:64" ht="15.75" customHeight="1" x14ac:dyDescent="0.2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spans="21:64" ht="15.75" customHeight="1" x14ac:dyDescent="0.2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spans="21:64" ht="15.75" customHeight="1" x14ac:dyDescent="0.2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spans="21:64" ht="15.75" customHeight="1" x14ac:dyDescent="0.2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spans="21:64" ht="15.75" customHeight="1" x14ac:dyDescent="0.2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spans="21:64" ht="15.75" customHeight="1" x14ac:dyDescent="0.2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spans="21:64" ht="15.75" customHeight="1" x14ac:dyDescent="0.2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spans="21:64" ht="15.75" customHeight="1" x14ac:dyDescent="0.2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spans="21:64" ht="15.75" customHeight="1" x14ac:dyDescent="0.2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spans="21:64" ht="15.75" customHeight="1" x14ac:dyDescent="0.2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spans="21:64" ht="15.75" customHeight="1" x14ac:dyDescent="0.2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spans="21:64" ht="15.75" customHeight="1" x14ac:dyDescent="0.2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spans="21:64" ht="15.75" customHeight="1" x14ac:dyDescent="0.2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spans="21:64" ht="15.75" customHeight="1" x14ac:dyDescent="0.2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spans="21:64" ht="15.75" customHeight="1" x14ac:dyDescent="0.2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spans="21:64" ht="15.75" customHeight="1" x14ac:dyDescent="0.2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spans="21:64" ht="15.75" customHeight="1" x14ac:dyDescent="0.2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spans="21:64" ht="15.75" customHeight="1" x14ac:dyDescent="0.2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spans="21:64" ht="15.75" customHeight="1" x14ac:dyDescent="0.2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spans="21:64" ht="15.75" customHeight="1" x14ac:dyDescent="0.2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spans="21:64" ht="15.75" customHeight="1" x14ac:dyDescent="0.2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spans="21:64" ht="15.75" customHeight="1" x14ac:dyDescent="0.2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spans="21:64" ht="15.75" customHeight="1" x14ac:dyDescent="0.2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spans="21:64" ht="15.75" customHeight="1" x14ac:dyDescent="0.2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spans="21:64" ht="15.75" customHeight="1" x14ac:dyDescent="0.2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spans="21:64" ht="15.75" customHeight="1" x14ac:dyDescent="0.2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spans="21:64" ht="15.75" customHeight="1" x14ac:dyDescent="0.2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spans="21:64" ht="15.75" customHeight="1" x14ac:dyDescent="0.2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spans="21:64" ht="15.75" customHeight="1" x14ac:dyDescent="0.2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spans="21:64" ht="15.75" customHeight="1" x14ac:dyDescent="0.2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spans="21:64" ht="15.75" customHeight="1" x14ac:dyDescent="0.2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spans="21:64" ht="15.75" customHeight="1" x14ac:dyDescent="0.2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spans="21:64" ht="15.75" customHeight="1" x14ac:dyDescent="0.2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spans="21:64" ht="15.75" customHeight="1" x14ac:dyDescent="0.2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spans="21:64" ht="15.75" customHeight="1" x14ac:dyDescent="0.2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spans="21:64" ht="15.75" customHeight="1" x14ac:dyDescent="0.2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spans="21:64" ht="15.75" customHeight="1" x14ac:dyDescent="0.2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spans="21:64" ht="15.75" customHeight="1" x14ac:dyDescent="0.2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spans="21:64" ht="15.75" customHeight="1" x14ac:dyDescent="0.2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spans="21:64" ht="15.75" customHeight="1" x14ac:dyDescent="0.2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spans="21:64" ht="15.75" customHeight="1" x14ac:dyDescent="0.2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spans="21:64" ht="15.75" customHeight="1" x14ac:dyDescent="0.2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spans="21:64" ht="15.75" customHeight="1" x14ac:dyDescent="0.2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spans="21:64" ht="15.75" customHeight="1" x14ac:dyDescent="0.2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spans="21:64" ht="15.75" customHeight="1" x14ac:dyDescent="0.2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spans="21:64" ht="15.75" customHeight="1" x14ac:dyDescent="0.2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spans="21:64" ht="15.75" customHeight="1" x14ac:dyDescent="0.2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spans="21:64" ht="15.75" customHeight="1" x14ac:dyDescent="0.2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spans="21:64" ht="15.75" customHeight="1" x14ac:dyDescent="0.2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spans="21:64" ht="15.75" customHeight="1" x14ac:dyDescent="0.2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spans="21:64" ht="15.75" customHeight="1" x14ac:dyDescent="0.2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spans="21:64" ht="15.75" customHeight="1" x14ac:dyDescent="0.2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spans="21:64" ht="15.75" customHeight="1" x14ac:dyDescent="0.2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spans="21:64" ht="15.75" customHeight="1" x14ac:dyDescent="0.2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spans="21:64" ht="15.75" customHeight="1" x14ac:dyDescent="0.2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spans="21:64" ht="15.75" customHeight="1" x14ac:dyDescent="0.2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spans="21:64" ht="15.75" customHeight="1" x14ac:dyDescent="0.2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spans="21:64" ht="15.75" customHeight="1" x14ac:dyDescent="0.2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spans="21:64" ht="15.75" customHeight="1" x14ac:dyDescent="0.2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spans="21:64" ht="15.75" customHeight="1" x14ac:dyDescent="0.2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spans="21:64" ht="15.75" customHeight="1" x14ac:dyDescent="0.2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spans="21:64" ht="15.75" customHeight="1" x14ac:dyDescent="0.2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spans="21:64" ht="15.75" customHeight="1" x14ac:dyDescent="0.2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spans="21:64" ht="15.75" customHeight="1" x14ac:dyDescent="0.2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spans="21:64" ht="15.75" customHeight="1" x14ac:dyDescent="0.2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spans="21:64" ht="15.75" customHeight="1" x14ac:dyDescent="0.2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spans="21:64" ht="15.75" customHeight="1" x14ac:dyDescent="0.2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spans="21:64" ht="15.75" customHeight="1" x14ac:dyDescent="0.2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spans="21:64" ht="15.75" customHeight="1" x14ac:dyDescent="0.2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spans="21:64" ht="15.75" customHeight="1" x14ac:dyDescent="0.2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spans="21:64" ht="15.75" customHeight="1" x14ac:dyDescent="0.2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spans="21:64" ht="15.75" customHeight="1" x14ac:dyDescent="0.2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spans="21:64" ht="15.75" customHeight="1" x14ac:dyDescent="0.2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spans="21:64" ht="15.75" customHeight="1" x14ac:dyDescent="0.2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spans="21:64" ht="15.75" customHeight="1" x14ac:dyDescent="0.2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spans="21:64" ht="15.75" customHeight="1" x14ac:dyDescent="0.2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spans="21:64" ht="15.75" customHeight="1" x14ac:dyDescent="0.2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spans="21:64" ht="15.75" customHeight="1" x14ac:dyDescent="0.2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spans="21:64" ht="15.75" customHeight="1" x14ac:dyDescent="0.2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spans="21:64" ht="15.75" customHeight="1" x14ac:dyDescent="0.2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spans="21:64" ht="15.75" customHeight="1" x14ac:dyDescent="0.2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spans="21:64" ht="15.75" customHeight="1" x14ac:dyDescent="0.2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spans="21:64" ht="15.75" customHeight="1" x14ac:dyDescent="0.2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spans="21:64" ht="15.75" customHeight="1" x14ac:dyDescent="0.2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spans="21:64" ht="15.75" customHeight="1" x14ac:dyDescent="0.2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spans="21:64" ht="15.75" customHeight="1" x14ac:dyDescent="0.2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spans="21:64" ht="15.75" customHeight="1" x14ac:dyDescent="0.2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spans="21:64" ht="15.75" customHeight="1" x14ac:dyDescent="0.2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spans="21:64" ht="15.75" customHeight="1" x14ac:dyDescent="0.2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spans="21:64" ht="15.75" customHeight="1" x14ac:dyDescent="0.2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spans="21:64" ht="15.75" customHeight="1" x14ac:dyDescent="0.2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spans="21:64" ht="15.75" customHeight="1" x14ac:dyDescent="0.2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spans="21:64" ht="15.75" customHeight="1" x14ac:dyDescent="0.2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spans="21:64" ht="15.75" customHeight="1" x14ac:dyDescent="0.2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spans="21:64" ht="15.75" customHeight="1" x14ac:dyDescent="0.2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spans="21:64" ht="15.75" customHeight="1" x14ac:dyDescent="0.2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spans="21:64" ht="15.75" customHeight="1" x14ac:dyDescent="0.2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spans="21:64" ht="15.75" customHeight="1" x14ac:dyDescent="0.2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spans="21:64" ht="15.75" customHeight="1" x14ac:dyDescent="0.2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spans="21:64" ht="15.75" customHeight="1" x14ac:dyDescent="0.2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spans="21:64" ht="15.75" customHeight="1" x14ac:dyDescent="0.2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spans="21:64" ht="15.75" customHeight="1" x14ac:dyDescent="0.2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spans="21:64" ht="15.75" customHeight="1" x14ac:dyDescent="0.2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spans="21:64" ht="15.75" customHeight="1" x14ac:dyDescent="0.2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spans="21:64" ht="15.75" customHeight="1" x14ac:dyDescent="0.2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spans="21:64" ht="15.75" customHeight="1" x14ac:dyDescent="0.2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spans="21:64" ht="15.75" customHeight="1" x14ac:dyDescent="0.2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spans="21:64" ht="15.75" customHeight="1" x14ac:dyDescent="0.2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spans="21:64" ht="15.75" customHeight="1" x14ac:dyDescent="0.2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spans="21:64" ht="15.75" customHeight="1" x14ac:dyDescent="0.2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spans="21:64" ht="15.75" customHeight="1" x14ac:dyDescent="0.2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spans="21:64" ht="15.75" customHeight="1" x14ac:dyDescent="0.2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spans="21:64" ht="15.75" customHeight="1" x14ac:dyDescent="0.2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spans="21:64" ht="15.75" customHeight="1" x14ac:dyDescent="0.2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spans="21:64" ht="15.75" customHeight="1" x14ac:dyDescent="0.2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spans="21:64" ht="15.75" customHeight="1" x14ac:dyDescent="0.2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spans="21:64" ht="15.75" customHeight="1" x14ac:dyDescent="0.2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spans="21:64" ht="15.75" customHeight="1" x14ac:dyDescent="0.2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spans="21:64" ht="15.75" customHeight="1" x14ac:dyDescent="0.2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spans="21:64" ht="15.75" customHeight="1" x14ac:dyDescent="0.2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spans="21:64" ht="15.75" customHeight="1" x14ac:dyDescent="0.2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spans="21:64" ht="15.75" customHeight="1" x14ac:dyDescent="0.2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spans="21:64" ht="15.75" customHeight="1" x14ac:dyDescent="0.2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spans="21:64" ht="15.75" customHeight="1" x14ac:dyDescent="0.2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spans="21:64" ht="15.75" customHeight="1" x14ac:dyDescent="0.2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spans="21:64" ht="15.75" customHeight="1" x14ac:dyDescent="0.2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spans="21:64" ht="15.75" customHeight="1" x14ac:dyDescent="0.2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spans="21:64" ht="15.75" customHeight="1" x14ac:dyDescent="0.2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spans="21:64" ht="15.75" customHeight="1" x14ac:dyDescent="0.2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spans="21:64" ht="15.75" customHeight="1" x14ac:dyDescent="0.2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spans="21:64" ht="15.75" customHeight="1" x14ac:dyDescent="0.2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spans="21:64" ht="15.75" customHeight="1" x14ac:dyDescent="0.2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spans="21:64" ht="15.75" customHeight="1" x14ac:dyDescent="0.2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spans="21:64" ht="15.75" customHeight="1" x14ac:dyDescent="0.2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spans="21:64" ht="15.75" customHeight="1" x14ac:dyDescent="0.2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spans="21:64" ht="15.75" customHeight="1" x14ac:dyDescent="0.2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spans="21:64" ht="15.75" customHeight="1" x14ac:dyDescent="0.2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spans="21:64" ht="15.75" customHeight="1" x14ac:dyDescent="0.2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spans="21:64" ht="15.75" customHeight="1" x14ac:dyDescent="0.2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spans="21:64" ht="15.75" customHeight="1" x14ac:dyDescent="0.2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spans="21:64" ht="15.75" customHeight="1" x14ac:dyDescent="0.2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spans="21:64" ht="15.75" customHeight="1" x14ac:dyDescent="0.2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spans="21:64" ht="15.75" customHeight="1" x14ac:dyDescent="0.2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spans="21:64" ht="15.75" customHeight="1" x14ac:dyDescent="0.2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spans="21:64" ht="15.75" customHeight="1" x14ac:dyDescent="0.2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spans="21:64" ht="15.75" customHeight="1" x14ac:dyDescent="0.2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spans="21:64" ht="15.75" customHeight="1" x14ac:dyDescent="0.2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spans="21:64" ht="15.75" customHeight="1" x14ac:dyDescent="0.2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spans="21:64" ht="15.75" customHeight="1" x14ac:dyDescent="0.2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spans="21:64" ht="15.75" customHeight="1" x14ac:dyDescent="0.2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spans="21:64" ht="15.75" customHeight="1" x14ac:dyDescent="0.2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spans="21:64" ht="15.75" customHeight="1" x14ac:dyDescent="0.2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spans="21:64" ht="15.75" customHeight="1" x14ac:dyDescent="0.2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spans="21:64" ht="15.75" customHeight="1" x14ac:dyDescent="0.2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spans="21:64" ht="15.75" customHeight="1" x14ac:dyDescent="0.2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spans="21:64" ht="15.75" customHeight="1" x14ac:dyDescent="0.2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spans="21:64" ht="15.75" customHeight="1" x14ac:dyDescent="0.2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spans="21:64" ht="15.75" customHeight="1" x14ac:dyDescent="0.2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spans="21:64" ht="15.75" customHeight="1" x14ac:dyDescent="0.2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spans="21:64" ht="15.75" customHeight="1" x14ac:dyDescent="0.2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spans="21:64" ht="15.75" customHeight="1" x14ac:dyDescent="0.2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spans="21:64" ht="15.75" customHeight="1" x14ac:dyDescent="0.2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spans="21:64" ht="15.75" customHeight="1" x14ac:dyDescent="0.2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spans="21:64" ht="15.75" customHeight="1" x14ac:dyDescent="0.2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spans="21:64" ht="15.75" customHeight="1" x14ac:dyDescent="0.2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spans="21:64" ht="15.75" customHeight="1" x14ac:dyDescent="0.2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spans="21:64" ht="15.75" customHeight="1" x14ac:dyDescent="0.2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spans="21:64" ht="15.75" customHeight="1" x14ac:dyDescent="0.2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spans="21:64" ht="15.75" customHeight="1" x14ac:dyDescent="0.2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spans="21:64" ht="15.75" customHeight="1" x14ac:dyDescent="0.2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spans="21:64" ht="15.75" customHeight="1" x14ac:dyDescent="0.2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spans="21:64" ht="15.75" customHeight="1" x14ac:dyDescent="0.2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spans="21:64" ht="15.75" customHeight="1" x14ac:dyDescent="0.2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spans="21:64" ht="15.75" customHeight="1" x14ac:dyDescent="0.2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spans="21:64" ht="15.75" customHeight="1" x14ac:dyDescent="0.2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spans="21:64" ht="15.75" customHeight="1" x14ac:dyDescent="0.2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spans="21:64" ht="15.75" customHeight="1" x14ac:dyDescent="0.2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spans="21:64" ht="15.75" customHeight="1" x14ac:dyDescent="0.2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spans="21:64" ht="15.75" customHeight="1" x14ac:dyDescent="0.2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spans="21:64" ht="15.75" customHeight="1" x14ac:dyDescent="0.2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spans="21:64" ht="15.75" customHeight="1" x14ac:dyDescent="0.2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spans="21:64" ht="15.75" customHeight="1" x14ac:dyDescent="0.2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spans="21:64" ht="15.75" customHeight="1" x14ac:dyDescent="0.2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spans="21:64" ht="15.75" customHeight="1" x14ac:dyDescent="0.2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spans="21:64" ht="15.75" customHeight="1" x14ac:dyDescent="0.2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spans="21:64" ht="15.75" customHeight="1" x14ac:dyDescent="0.2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spans="21:64" ht="15.75" customHeight="1" x14ac:dyDescent="0.2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spans="21:64" ht="15.75" customHeight="1" x14ac:dyDescent="0.2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spans="21:64" ht="15.75" customHeight="1" x14ac:dyDescent="0.2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spans="21:64" ht="15.75" customHeight="1" x14ac:dyDescent="0.2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spans="21:64" ht="15.75" customHeight="1" x14ac:dyDescent="0.2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spans="21:64" ht="15.75" customHeight="1" x14ac:dyDescent="0.2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spans="21:64" ht="15.75" customHeight="1" x14ac:dyDescent="0.2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spans="21:64" ht="15.75" customHeight="1" x14ac:dyDescent="0.2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spans="21:64" ht="15.75" customHeight="1" x14ac:dyDescent="0.2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spans="21:64" ht="15.75" customHeight="1" x14ac:dyDescent="0.2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spans="21:64" ht="15.75" customHeight="1" x14ac:dyDescent="0.2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spans="21:64" ht="15.75" customHeight="1" x14ac:dyDescent="0.2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spans="21:64" ht="15.75" customHeight="1" x14ac:dyDescent="0.2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spans="21:64" ht="15.75" customHeight="1" x14ac:dyDescent="0.2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spans="21:64" ht="15.75" customHeight="1" x14ac:dyDescent="0.2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spans="21:64" ht="15.75" customHeight="1" x14ac:dyDescent="0.2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spans="21:64" ht="15.75" customHeight="1" x14ac:dyDescent="0.2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spans="21:64" ht="15.75" customHeight="1" x14ac:dyDescent="0.2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spans="21:64" ht="15.75" customHeight="1" x14ac:dyDescent="0.2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spans="21:64" ht="15.75" customHeight="1" x14ac:dyDescent="0.2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spans="21:64" ht="15.75" customHeight="1" x14ac:dyDescent="0.2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spans="21:64" ht="15.75" customHeight="1" x14ac:dyDescent="0.2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spans="21:64" ht="15.75" customHeight="1" x14ac:dyDescent="0.2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spans="21:64" ht="15.75" customHeight="1" x14ac:dyDescent="0.2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spans="21:64" ht="15.75" customHeight="1" x14ac:dyDescent="0.2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spans="21:64" ht="15.75" customHeight="1" x14ac:dyDescent="0.2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spans="21:64" ht="15.75" customHeight="1" x14ac:dyDescent="0.2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spans="21:64" ht="15.75" customHeight="1" x14ac:dyDescent="0.2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spans="21:64" ht="15.75" customHeight="1" x14ac:dyDescent="0.2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spans="21:64" ht="15.75" customHeight="1" x14ac:dyDescent="0.2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spans="21:64" ht="15.75" customHeight="1" x14ac:dyDescent="0.2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spans="21:64" ht="15.75" customHeight="1" x14ac:dyDescent="0.2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spans="21:64" ht="15.75" customHeight="1" x14ac:dyDescent="0.2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spans="21:64" ht="15.75" customHeight="1" x14ac:dyDescent="0.2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spans="21:64" ht="15.75" customHeight="1" x14ac:dyDescent="0.2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spans="21:64" ht="15.75" customHeight="1" x14ac:dyDescent="0.2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spans="21:64" ht="15.75" customHeight="1" x14ac:dyDescent="0.2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spans="21:64" ht="15.75" customHeight="1" x14ac:dyDescent="0.2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spans="21:64" ht="15.75" customHeight="1" x14ac:dyDescent="0.2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spans="21:64" ht="15.75" customHeight="1" x14ac:dyDescent="0.2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spans="21:64" ht="15.75" customHeight="1" x14ac:dyDescent="0.2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spans="21:64" ht="15.75" customHeight="1" x14ac:dyDescent="0.2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spans="21:64" ht="15.75" customHeight="1" x14ac:dyDescent="0.2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spans="21:64" ht="15.75" customHeight="1" x14ac:dyDescent="0.2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spans="21:64" ht="15.75" customHeight="1" x14ac:dyDescent="0.2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spans="21:64" ht="15.75" customHeight="1" x14ac:dyDescent="0.2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spans="21:64" ht="15.75" customHeight="1" x14ac:dyDescent="0.2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spans="21:64" ht="15.75" customHeight="1" x14ac:dyDescent="0.2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spans="21:64" ht="15.75" customHeight="1" x14ac:dyDescent="0.2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spans="21:64" ht="15.75" customHeight="1" x14ac:dyDescent="0.2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spans="21:64" ht="15.75" customHeight="1" x14ac:dyDescent="0.2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spans="21:64" ht="15.75" customHeight="1" x14ac:dyDescent="0.2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spans="21:64" ht="15.75" customHeight="1" x14ac:dyDescent="0.2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spans="21:64" ht="15.75" customHeight="1" x14ac:dyDescent="0.2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spans="21:64" ht="15.75" customHeight="1" x14ac:dyDescent="0.2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spans="21:64" ht="15.75" customHeight="1" x14ac:dyDescent="0.2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spans="21:64" ht="15.75" customHeight="1" x14ac:dyDescent="0.2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spans="21:64" ht="15.75" customHeight="1" x14ac:dyDescent="0.2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spans="21:64" ht="15.75" customHeight="1" x14ac:dyDescent="0.2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spans="21:64" ht="15.75" customHeight="1" x14ac:dyDescent="0.2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spans="21:64" ht="15.75" customHeight="1" x14ac:dyDescent="0.2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spans="21:64" ht="15.75" customHeight="1" x14ac:dyDescent="0.2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spans="21:64" ht="15.75" customHeight="1" x14ac:dyDescent="0.2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spans="21:64" ht="15.75" customHeight="1" x14ac:dyDescent="0.2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spans="21:64" ht="15.75" customHeight="1" x14ac:dyDescent="0.2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spans="21:64" ht="15.75" customHeight="1" x14ac:dyDescent="0.2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spans="21:64" ht="15.75" customHeight="1" x14ac:dyDescent="0.2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spans="21:64" ht="15.75" customHeight="1" x14ac:dyDescent="0.2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spans="21:64" ht="15.75" customHeight="1" x14ac:dyDescent="0.2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spans="21:64" ht="15.75" customHeight="1" x14ac:dyDescent="0.2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spans="21:64" ht="15.75" customHeight="1" x14ac:dyDescent="0.2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spans="21:64" ht="15.75" customHeight="1" x14ac:dyDescent="0.2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spans="21:64" ht="15.75" customHeight="1" x14ac:dyDescent="0.2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spans="21:64" ht="15.75" customHeight="1" x14ac:dyDescent="0.2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spans="21:64" ht="15.75" customHeight="1" x14ac:dyDescent="0.2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spans="21:64" ht="15.75" customHeight="1" x14ac:dyDescent="0.2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spans="21:64" ht="15.75" customHeight="1" x14ac:dyDescent="0.2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spans="21:64" ht="15.75" customHeight="1" x14ac:dyDescent="0.2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spans="21:64" ht="15.75" customHeight="1" x14ac:dyDescent="0.2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spans="21:64" ht="15.75" customHeight="1" x14ac:dyDescent="0.2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spans="21:64" ht="15.75" customHeight="1" x14ac:dyDescent="0.2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spans="21:64" ht="15.75" customHeight="1" x14ac:dyDescent="0.2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spans="21:64" ht="15.75" customHeight="1" x14ac:dyDescent="0.2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spans="21:64" ht="15.75" customHeight="1" x14ac:dyDescent="0.2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spans="21:64" ht="15.75" customHeight="1" x14ac:dyDescent="0.2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spans="21:64" ht="15.75" customHeight="1" x14ac:dyDescent="0.2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spans="21:64" ht="15.75" customHeight="1" x14ac:dyDescent="0.2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spans="21:64" ht="15.75" customHeight="1" x14ac:dyDescent="0.2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spans="21:64" ht="15.75" customHeight="1" x14ac:dyDescent="0.2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spans="21:64" ht="15.75" customHeight="1" x14ac:dyDescent="0.2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spans="21:64" ht="15.75" customHeight="1" x14ac:dyDescent="0.2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spans="21:64" ht="15.75" customHeight="1" x14ac:dyDescent="0.2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spans="21:64" ht="15.75" customHeight="1" x14ac:dyDescent="0.2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spans="21:64" ht="15.75" customHeight="1" x14ac:dyDescent="0.2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spans="21:64" ht="15.75" customHeight="1" x14ac:dyDescent="0.2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spans="21:64" ht="15.75" customHeight="1" x14ac:dyDescent="0.2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spans="21:64" ht="15.75" customHeight="1" x14ac:dyDescent="0.2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spans="21:64" ht="15.75" customHeight="1" x14ac:dyDescent="0.2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spans="21:64" ht="15.75" customHeight="1" x14ac:dyDescent="0.2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spans="21:64" ht="15.75" customHeight="1" x14ac:dyDescent="0.2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spans="21:64" ht="15.75" customHeight="1" x14ac:dyDescent="0.2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spans="21:64" ht="15.75" customHeight="1" x14ac:dyDescent="0.2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spans="21:64" ht="15.75" customHeight="1" x14ac:dyDescent="0.2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spans="21:64" ht="15.75" customHeight="1" x14ac:dyDescent="0.2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spans="21:64" ht="15.75" customHeight="1" x14ac:dyDescent="0.2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spans="21:64" ht="15.75" customHeight="1" x14ac:dyDescent="0.2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spans="21:64" ht="15.75" customHeight="1" x14ac:dyDescent="0.2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spans="21:64" ht="15.75" customHeight="1" x14ac:dyDescent="0.2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spans="21:64" ht="15.75" customHeight="1" x14ac:dyDescent="0.2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spans="21:64" ht="15.75" customHeight="1" x14ac:dyDescent="0.2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spans="21:64" ht="15.75" customHeight="1" x14ac:dyDescent="0.2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spans="21:64" ht="15.75" customHeight="1" x14ac:dyDescent="0.2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spans="21:64" ht="15.75" customHeight="1" x14ac:dyDescent="0.2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spans="21:64" ht="15.75" customHeight="1" x14ac:dyDescent="0.2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spans="21:64" ht="15.75" customHeight="1" x14ac:dyDescent="0.2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spans="21:64" ht="15.75" customHeight="1" x14ac:dyDescent="0.2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spans="21:64" ht="15.75" customHeight="1" x14ac:dyDescent="0.2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spans="21:64" ht="15.75" customHeight="1" x14ac:dyDescent="0.2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spans="21:64" ht="15.75" customHeight="1" x14ac:dyDescent="0.2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spans="21:64" ht="15.75" customHeight="1" x14ac:dyDescent="0.2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spans="21:64" ht="15.75" customHeight="1" x14ac:dyDescent="0.2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spans="21:64" ht="15.75" customHeight="1" x14ac:dyDescent="0.2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spans="21:64" ht="15.75" customHeight="1" x14ac:dyDescent="0.2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spans="21:64" ht="15.75" customHeight="1" x14ac:dyDescent="0.2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spans="21:64" ht="15.75" customHeight="1" x14ac:dyDescent="0.2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spans="21:64" ht="15.75" customHeight="1" x14ac:dyDescent="0.2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spans="21:64" ht="15.75" customHeight="1" x14ac:dyDescent="0.2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spans="21:64" ht="15.75" customHeight="1" x14ac:dyDescent="0.2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spans="21:64" ht="15.75" customHeight="1" x14ac:dyDescent="0.2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spans="21:64" ht="15.75" customHeight="1" x14ac:dyDescent="0.2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spans="21:64" ht="15.75" customHeight="1" x14ac:dyDescent="0.2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spans="21:64" ht="15.75" customHeight="1" x14ac:dyDescent="0.2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spans="21:64" ht="15.75" customHeight="1" x14ac:dyDescent="0.2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spans="21:64" ht="15.75" customHeight="1" x14ac:dyDescent="0.2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spans="21:64" ht="15.75" customHeight="1" x14ac:dyDescent="0.2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spans="21:64" ht="15.75" customHeight="1" x14ac:dyDescent="0.2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spans="21:64" ht="15.75" customHeight="1" x14ac:dyDescent="0.2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spans="21:64" ht="15.75" customHeight="1" x14ac:dyDescent="0.2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spans="21:64" ht="15.75" customHeight="1" x14ac:dyDescent="0.2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spans="21:64" ht="15.75" customHeight="1" x14ac:dyDescent="0.2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spans="21:64" ht="15.75" customHeight="1" x14ac:dyDescent="0.2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spans="21:64" ht="15.75" customHeight="1" x14ac:dyDescent="0.2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spans="21:64" ht="15.75" customHeight="1" x14ac:dyDescent="0.2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spans="21:64" ht="15.75" customHeight="1" x14ac:dyDescent="0.2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spans="21:64" ht="15.75" customHeight="1" x14ac:dyDescent="0.2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spans="21:64" ht="15.75" customHeight="1" x14ac:dyDescent="0.2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spans="21:64" ht="15.75" customHeight="1" x14ac:dyDescent="0.2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spans="21:64" ht="15.75" customHeight="1" x14ac:dyDescent="0.2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spans="21:64" ht="15.75" customHeight="1" x14ac:dyDescent="0.2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spans="21:64" ht="15.75" customHeight="1" x14ac:dyDescent="0.2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spans="21:64" ht="15.75" customHeight="1" x14ac:dyDescent="0.2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spans="21:64" ht="15.75" customHeight="1" x14ac:dyDescent="0.2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spans="21:64" ht="15.75" customHeight="1" x14ac:dyDescent="0.2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spans="21:64" ht="15.75" customHeight="1" x14ac:dyDescent="0.2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spans="21:64" ht="15.75" customHeight="1" x14ac:dyDescent="0.2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spans="21:64" ht="15.75" customHeight="1" x14ac:dyDescent="0.2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spans="21:64" ht="15.75" customHeight="1" x14ac:dyDescent="0.2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spans="21:64" ht="15.75" customHeight="1" x14ac:dyDescent="0.2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spans="21:64" ht="15.75" customHeight="1" x14ac:dyDescent="0.2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spans="21:64" ht="15.75" customHeight="1" x14ac:dyDescent="0.2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spans="21:64" ht="15.75" customHeight="1" x14ac:dyDescent="0.2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spans="21:64" ht="15.75" customHeight="1" x14ac:dyDescent="0.2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spans="21:64" ht="15.75" customHeight="1" x14ac:dyDescent="0.2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spans="21:64" ht="15.75" customHeight="1" x14ac:dyDescent="0.2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spans="21:64" ht="15.75" customHeight="1" x14ac:dyDescent="0.2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spans="21:64" ht="15.75" customHeight="1" x14ac:dyDescent="0.2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spans="21:64" ht="15.75" customHeight="1" x14ac:dyDescent="0.2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spans="21:64" ht="15.75" customHeight="1" x14ac:dyDescent="0.2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spans="21:64" ht="15.75" customHeight="1" x14ac:dyDescent="0.2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spans="21:64" ht="15.75" customHeight="1" x14ac:dyDescent="0.2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spans="21:64" ht="15.75" customHeight="1" x14ac:dyDescent="0.2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spans="21:64" ht="15.75" customHeight="1" x14ac:dyDescent="0.2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spans="21:64" ht="15.75" customHeight="1" x14ac:dyDescent="0.2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spans="21:64" ht="15.75" customHeight="1" x14ac:dyDescent="0.2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spans="21:64" ht="15.75" customHeight="1" x14ac:dyDescent="0.2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spans="21:64" ht="15.75" customHeight="1" x14ac:dyDescent="0.2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spans="21:64" ht="15.75" customHeight="1" x14ac:dyDescent="0.2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spans="21:64" ht="15.75" customHeight="1" x14ac:dyDescent="0.2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spans="21:64" ht="15.75" customHeight="1" x14ac:dyDescent="0.2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spans="21:64" ht="15.75" customHeight="1" x14ac:dyDescent="0.2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spans="21:64" ht="15.75" customHeight="1" x14ac:dyDescent="0.2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spans="21:64" ht="15.75" customHeight="1" x14ac:dyDescent="0.2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spans="21:64" ht="15.75" customHeight="1" x14ac:dyDescent="0.2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spans="21:64" ht="15.75" customHeight="1" x14ac:dyDescent="0.2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spans="21:64" ht="15.75" customHeight="1" x14ac:dyDescent="0.2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spans="21:64" ht="15.75" customHeight="1" x14ac:dyDescent="0.2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spans="21:64" ht="15.75" customHeight="1" x14ac:dyDescent="0.2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spans="21:64" ht="15.75" customHeight="1" x14ac:dyDescent="0.2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spans="21:64" ht="15.75" customHeight="1" x14ac:dyDescent="0.2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spans="21:64" ht="15.75" customHeight="1" x14ac:dyDescent="0.2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spans="21:64" ht="15.75" customHeight="1" x14ac:dyDescent="0.2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spans="21:64" ht="15.75" customHeight="1" x14ac:dyDescent="0.2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spans="21:64" ht="15.75" customHeight="1" x14ac:dyDescent="0.2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spans="21:64" ht="15.75" customHeight="1" x14ac:dyDescent="0.2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spans="21:64" ht="15.75" customHeight="1" x14ac:dyDescent="0.2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spans="21:64" ht="15.75" customHeight="1" x14ac:dyDescent="0.2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spans="21:64" ht="15.75" customHeight="1" x14ac:dyDescent="0.2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spans="21:64" ht="15.75" customHeight="1" x14ac:dyDescent="0.2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spans="21:64" ht="15.75" customHeight="1" x14ac:dyDescent="0.2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spans="21:64" ht="15.75" customHeight="1" x14ac:dyDescent="0.2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spans="21:64" ht="15.75" customHeight="1" x14ac:dyDescent="0.2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spans="21:64" ht="15.75" customHeight="1" x14ac:dyDescent="0.2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spans="21:64" ht="15.75" customHeight="1" x14ac:dyDescent="0.2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spans="21:64" ht="15.75" customHeight="1" x14ac:dyDescent="0.2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spans="21:64" ht="15.75" customHeight="1" x14ac:dyDescent="0.2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spans="21:64" ht="15.75" customHeight="1" x14ac:dyDescent="0.2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spans="21:64" ht="15.75" customHeight="1" x14ac:dyDescent="0.2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spans="21:64" ht="15.75" customHeight="1" x14ac:dyDescent="0.2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spans="21:64" ht="15.75" customHeight="1" x14ac:dyDescent="0.2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spans="21:64" ht="15.75" customHeight="1" x14ac:dyDescent="0.2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spans="21:64" ht="15.75" customHeight="1" x14ac:dyDescent="0.2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spans="21:64" ht="15.75" customHeight="1" x14ac:dyDescent="0.2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spans="21:64" ht="15.75" customHeight="1" x14ac:dyDescent="0.2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spans="21:64" ht="15.75" customHeight="1" x14ac:dyDescent="0.2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spans="21:64" ht="15.75" customHeight="1" x14ac:dyDescent="0.2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spans="21:64" ht="15.75" customHeight="1" x14ac:dyDescent="0.2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spans="21:64" ht="15.75" customHeight="1" x14ac:dyDescent="0.2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spans="21:64" ht="15.75" customHeight="1" x14ac:dyDescent="0.2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spans="21:64" ht="15.75" customHeight="1" x14ac:dyDescent="0.2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spans="21:64" ht="15.75" customHeight="1" x14ac:dyDescent="0.2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spans="21:64" ht="15.75" customHeight="1" x14ac:dyDescent="0.2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spans="21:64" ht="15.75" customHeight="1" x14ac:dyDescent="0.2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spans="21:64" ht="15.75" customHeight="1" x14ac:dyDescent="0.2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spans="21:64" ht="15.75" customHeight="1" x14ac:dyDescent="0.2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spans="21:64" ht="15.75" customHeight="1" x14ac:dyDescent="0.2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spans="21:64" ht="15.75" customHeight="1" x14ac:dyDescent="0.2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spans="21:64" ht="15.75" customHeight="1" x14ac:dyDescent="0.2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spans="21:64" ht="15.75" customHeight="1" x14ac:dyDescent="0.2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spans="21:64" ht="15.75" customHeight="1" x14ac:dyDescent="0.2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spans="21:64" ht="15.75" customHeight="1" x14ac:dyDescent="0.2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spans="21:64" ht="15.75" customHeight="1" x14ac:dyDescent="0.2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spans="21:64" ht="15.75" customHeight="1" x14ac:dyDescent="0.2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spans="21:64" ht="15.75" customHeight="1" x14ac:dyDescent="0.2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spans="21:64" ht="15.75" customHeight="1" x14ac:dyDescent="0.2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spans="21:64" ht="15.75" customHeight="1" x14ac:dyDescent="0.2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spans="21:64" ht="15.75" customHeight="1" x14ac:dyDescent="0.2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spans="21:64" ht="15.75" customHeight="1" x14ac:dyDescent="0.2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spans="21:64" ht="15.75" customHeight="1" x14ac:dyDescent="0.2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spans="21:64" ht="15.75" customHeight="1" x14ac:dyDescent="0.2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spans="21:64" ht="15.75" customHeight="1" x14ac:dyDescent="0.2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spans="21:64" ht="15.75" customHeight="1" x14ac:dyDescent="0.2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spans="21:64" ht="15.75" customHeight="1" x14ac:dyDescent="0.2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horizontalCentered="1" gridLines="1"/>
  <pageMargins left="0.25" right="0.25" top="0.75" bottom="0.75" header="0" footer="0"/>
  <pageSetup pageOrder="overThenDown" orientation="landscape" cellComments="atEnd"/>
  <colBreaks count="2" manualBreakCount="2">
    <brk id="17" man="1"/>
    <brk id="3" man="1"/>
  </colBreak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K312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2" width="11.3984375" customWidth="1"/>
  </cols>
  <sheetData>
    <row r="1" spans="1:63" x14ac:dyDescent="0.2">
      <c r="C1" s="74" t="s">
        <v>207</v>
      </c>
      <c r="D1" s="1"/>
      <c r="E1" s="1"/>
    </row>
    <row r="3" spans="1:63" x14ac:dyDescent="0.2">
      <c r="C3" s="12" t="s">
        <v>1</v>
      </c>
      <c r="D3" s="38" t="s">
        <v>208</v>
      </c>
      <c r="E3" s="12"/>
    </row>
    <row r="4" spans="1:63" x14ac:dyDescent="0.2">
      <c r="C4" s="12" t="s">
        <v>3</v>
      </c>
      <c r="D4" s="38" t="s">
        <v>268</v>
      </c>
    </row>
    <row r="6" spans="1:63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  <c r="BI6" s="9"/>
      <c r="BJ6" s="9"/>
      <c r="BK6" s="9"/>
    </row>
    <row r="7" spans="1:63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</row>
    <row r="8" spans="1:63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</row>
    <row r="9" spans="1:63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</row>
    <row r="10" spans="1:63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</row>
    <row r="11" spans="1:63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3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</row>
    <row r="13" spans="1:63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</row>
    <row r="14" spans="1:63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3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</row>
    <row r="16" spans="1:63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</row>
    <row r="17" spans="1:5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5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</row>
    <row r="19" spans="1:5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</row>
    <row r="20" spans="1:5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5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</row>
    <row r="22" spans="1:5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</row>
    <row r="23" spans="1:5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</row>
    <row r="24" spans="1:5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</row>
    <row r="25" spans="1:5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</row>
    <row r="26" spans="1:5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5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</row>
    <row r="28" spans="1:5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5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5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</row>
    <row r="31" spans="1:5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</row>
    <row r="32" spans="1:5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</row>
    <row r="33" spans="1:5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</row>
    <row r="34" spans="1:5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</row>
    <row r="35" spans="1:5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</row>
    <row r="36" spans="1:5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</row>
    <row r="37" spans="1:5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</row>
    <row r="38" spans="1:5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</row>
    <row r="39" spans="1:5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</row>
    <row r="40" spans="1:5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</row>
    <row r="41" spans="1:5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</row>
    <row r="42" spans="1:5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</row>
    <row r="43" spans="1:5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5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</row>
    <row r="45" spans="1:5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5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</row>
    <row r="47" spans="1:5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</row>
    <row r="48" spans="1:5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</row>
    <row r="49" spans="1:5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</row>
    <row r="50" spans="1:5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</row>
    <row r="51" spans="1:5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</row>
    <row r="52" spans="1:5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</row>
    <row r="53" spans="1:5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</row>
    <row r="54" spans="1:5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</row>
    <row r="55" spans="1:5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</row>
    <row r="56" spans="1:5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</row>
    <row r="57" spans="1:5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</row>
    <row r="58" spans="1:5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</row>
    <row r="59" spans="1:5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</row>
    <row r="60" spans="1:5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</row>
    <row r="61" spans="1:5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</row>
    <row r="62" spans="1:5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</row>
    <row r="63" spans="1:5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</row>
    <row r="64" spans="1:5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</row>
    <row r="65" spans="1:5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</row>
    <row r="66" spans="1:5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</row>
    <row r="67" spans="1:5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</row>
    <row r="68" spans="1:5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</row>
    <row r="69" spans="1:5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</row>
    <row r="70" spans="1:5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</row>
    <row r="71" spans="1:5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</row>
    <row r="72" spans="1:5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</row>
    <row r="73" spans="1:5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</row>
    <row r="74" spans="1:5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</row>
    <row r="75" spans="1:5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</row>
    <row r="76" spans="1:5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</row>
    <row r="77" spans="1:5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</row>
    <row r="78" spans="1:5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</row>
    <row r="79" spans="1:5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</row>
    <row r="80" spans="1:5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</row>
    <row r="81" spans="1:5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5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</row>
    <row r="83" spans="1:5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</row>
    <row r="84" spans="1:5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</row>
    <row r="85" spans="1:5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</row>
    <row r="86" spans="1:5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</row>
    <row r="87" spans="1:5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</row>
    <row r="88" spans="1:5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</row>
    <row r="89" spans="1:5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</row>
    <row r="90" spans="1:5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</row>
    <row r="91" spans="1:5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</row>
    <row r="92" spans="1:5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</row>
    <row r="93" spans="1:5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</row>
    <row r="94" spans="1:5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</row>
    <row r="95" spans="1:5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5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55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55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55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55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55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55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55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55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55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55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55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H107" s="70">
        <v>44624</v>
      </c>
      <c r="AJ107" s="57">
        <v>1.74</v>
      </c>
      <c r="AK107" s="57">
        <v>0.2576</v>
      </c>
      <c r="AM107" s="57">
        <v>1.53</v>
      </c>
      <c r="AN107" s="57">
        <v>0.13489999999999999</v>
      </c>
      <c r="AP107" s="57">
        <v>1.69</v>
      </c>
      <c r="AQ107" s="57">
        <v>0.10390000000000001</v>
      </c>
      <c r="AS107" s="57">
        <v>2.91</v>
      </c>
      <c r="AT107" s="57">
        <v>0.30730000000000002</v>
      </c>
      <c r="AV107" s="57">
        <v>1.2</v>
      </c>
      <c r="AW107" s="57">
        <v>0.1234</v>
      </c>
      <c r="AY107" s="57">
        <v>0.4</v>
      </c>
      <c r="AZ107" s="57">
        <v>0.12809999999999999</v>
      </c>
      <c r="BB107" s="57">
        <v>0.4</v>
      </c>
      <c r="BC107" s="57">
        <v>0.21179999999999999</v>
      </c>
    </row>
    <row r="108" spans="1:55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55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55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H110" s="70">
        <v>44624</v>
      </c>
      <c r="AJ110" s="57">
        <v>1.44</v>
      </c>
      <c r="AM110" s="57">
        <v>1.3</v>
      </c>
      <c r="AP110" s="57">
        <v>1.35</v>
      </c>
      <c r="AS110" s="57">
        <v>1.55</v>
      </c>
      <c r="AT110" s="57">
        <v>0.17780000000000001</v>
      </c>
      <c r="AV110" s="57">
        <v>1.6</v>
      </c>
      <c r="AW110" s="57">
        <v>0.13439999999999999</v>
      </c>
      <c r="AY110" s="57">
        <v>1.95</v>
      </c>
      <c r="AZ110" s="57">
        <v>0.224</v>
      </c>
      <c r="BB110" s="57">
        <v>1.96</v>
      </c>
      <c r="BC110" s="57">
        <v>0.16619999999999999</v>
      </c>
    </row>
    <row r="111" spans="1:55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</row>
    <row r="112" spans="1:55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H112" s="70">
        <v>44624</v>
      </c>
      <c r="AJ112" s="57">
        <v>1.55</v>
      </c>
      <c r="AM112" s="57">
        <v>1.35</v>
      </c>
      <c r="AP112" s="57">
        <v>1.35</v>
      </c>
    </row>
    <row r="113" spans="1:5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</row>
    <row r="114" spans="1:5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</row>
    <row r="115" spans="1:5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</row>
    <row r="116" spans="1:5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</row>
    <row r="117" spans="1:5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E117" s="57" t="s">
        <v>138</v>
      </c>
    </row>
    <row r="118" spans="1:5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E118" s="57" t="s">
        <v>140</v>
      </c>
    </row>
    <row r="119" spans="1:5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E119" s="57" t="s">
        <v>141</v>
      </c>
    </row>
    <row r="120" spans="1:5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E120" s="57" t="s">
        <v>143</v>
      </c>
    </row>
    <row r="121" spans="1:5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E121" s="57" t="s">
        <v>144</v>
      </c>
    </row>
    <row r="122" spans="1:5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E122" s="57" t="s">
        <v>145</v>
      </c>
    </row>
    <row r="123" spans="1:5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</row>
    <row r="124" spans="1:5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</row>
    <row r="125" spans="1:5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</row>
    <row r="126" spans="1:5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</row>
    <row r="127" spans="1:5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</row>
    <row r="128" spans="1:5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</row>
    <row r="129" spans="1:5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</row>
    <row r="130" spans="1:5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</row>
    <row r="131" spans="1:5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</row>
    <row r="132" spans="1:5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</row>
    <row r="133" spans="1:5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</row>
    <row r="134" spans="1:5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</row>
    <row r="135" spans="1:5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</row>
    <row r="136" spans="1:5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</row>
    <row r="137" spans="1:5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</row>
    <row r="138" spans="1:5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</row>
    <row r="139" spans="1:5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</row>
    <row r="140" spans="1:5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</row>
    <row r="141" spans="1:5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</row>
    <row r="142" spans="1:5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</row>
    <row r="143" spans="1:5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</row>
    <row r="144" spans="1:5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</row>
    <row r="145" spans="1:5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</row>
    <row r="146" spans="1:5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</row>
    <row r="147" spans="1:5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</row>
    <row r="148" spans="1:5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</row>
    <row r="149" spans="1:5" x14ac:dyDescent="0.2">
      <c r="A149" s="57" t="s">
        <v>114</v>
      </c>
      <c r="B149" s="76" t="s">
        <v>133</v>
      </c>
      <c r="D149" s="54" t="s">
        <v>64</v>
      </c>
      <c r="E149" s="57">
        <v>2011</v>
      </c>
    </row>
    <row r="150" spans="1:5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</row>
    <row r="151" spans="1:5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</row>
    <row r="152" spans="1:5" x14ac:dyDescent="0.2">
      <c r="A152" s="57" t="s">
        <v>134</v>
      </c>
      <c r="B152" s="76" t="s">
        <v>135</v>
      </c>
      <c r="D152" s="54" t="s">
        <v>64</v>
      </c>
      <c r="E152" s="57">
        <v>2008</v>
      </c>
    </row>
    <row r="153" spans="1:5" x14ac:dyDescent="0.2">
      <c r="D153" s="3"/>
    </row>
    <row r="154" spans="1:5" x14ac:dyDescent="0.2">
      <c r="D154" s="3"/>
    </row>
    <row r="155" spans="1:5" x14ac:dyDescent="0.2">
      <c r="D155" s="3"/>
    </row>
    <row r="156" spans="1:5" x14ac:dyDescent="0.2">
      <c r="D156" s="3"/>
    </row>
    <row r="157" spans="1:5" x14ac:dyDescent="0.2">
      <c r="D157" s="3"/>
    </row>
    <row r="158" spans="1:5" x14ac:dyDescent="0.2">
      <c r="D158" s="3"/>
    </row>
    <row r="159" spans="1:5" x14ac:dyDescent="0.2">
      <c r="D159" s="3"/>
    </row>
    <row r="160" spans="1:5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H314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2" width="11.3984375" customWidth="1"/>
    <col min="3" max="3" width="14.796875" customWidth="1"/>
    <col min="4" max="4" width="11.3984375" customWidth="1"/>
    <col min="5" max="5" width="25.796875" customWidth="1"/>
    <col min="8" max="8" width="17" customWidth="1"/>
  </cols>
  <sheetData>
    <row r="1" spans="1:60" x14ac:dyDescent="0.2">
      <c r="C1" s="74" t="s">
        <v>207</v>
      </c>
      <c r="D1" s="1"/>
      <c r="E1" s="1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8"/>
    </row>
    <row r="2" spans="1:60" x14ac:dyDescent="0.2"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1"/>
    </row>
    <row r="3" spans="1:60" x14ac:dyDescent="0.2">
      <c r="C3" s="12" t="s">
        <v>1</v>
      </c>
      <c r="D3" s="38" t="s">
        <v>208</v>
      </c>
      <c r="E3" s="12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1"/>
    </row>
    <row r="4" spans="1:60" x14ac:dyDescent="0.2">
      <c r="C4" s="12" t="s">
        <v>3</v>
      </c>
      <c r="D4" s="38" t="s">
        <v>269</v>
      </c>
      <c r="F4" s="3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11"/>
    </row>
    <row r="5" spans="1:60" x14ac:dyDescent="0.2">
      <c r="C5" s="57" t="s">
        <v>270</v>
      </c>
      <c r="F5" s="14" t="s">
        <v>271</v>
      </c>
      <c r="G5" s="9"/>
      <c r="H5" s="9"/>
      <c r="I5" s="15" t="s">
        <v>272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11"/>
    </row>
    <row r="6" spans="1:60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</row>
    <row r="7" spans="1:60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F7" s="70"/>
      <c r="H7" s="57" t="s">
        <v>273</v>
      </c>
      <c r="I7" s="57">
        <v>1.51</v>
      </c>
      <c r="J7" s="57">
        <v>0.1245</v>
      </c>
      <c r="K7" s="57">
        <v>7.5999999999999998E-2</v>
      </c>
      <c r="L7" s="57">
        <v>1.23</v>
      </c>
      <c r="M7" s="57">
        <v>0.16880000000000001</v>
      </c>
      <c r="N7" s="57">
        <v>0.104</v>
      </c>
      <c r="O7" s="57">
        <v>1.48</v>
      </c>
      <c r="P7" s="57">
        <v>0.21440000000000001</v>
      </c>
      <c r="Q7" s="57">
        <v>7.5999999999999998E-2</v>
      </c>
      <c r="AB7" s="57"/>
      <c r="AC7" s="57"/>
      <c r="AD7" s="57"/>
      <c r="AE7" s="57"/>
      <c r="AF7" s="57"/>
      <c r="AG7" s="57">
        <v>1.0667</v>
      </c>
      <c r="AH7" s="57">
        <v>0.65300000000000002</v>
      </c>
      <c r="AJ7" s="57">
        <v>3.5</v>
      </c>
      <c r="AK7" s="57">
        <v>0.24610000000000001</v>
      </c>
      <c r="AL7" s="57">
        <v>0.15</v>
      </c>
      <c r="AM7" s="57">
        <v>1.75</v>
      </c>
      <c r="AN7" s="57">
        <v>0.21959999999999999</v>
      </c>
      <c r="AO7" s="57">
        <v>0.13200000000000001</v>
      </c>
      <c r="AP7" s="57">
        <v>1.85</v>
      </c>
      <c r="AQ7" s="57">
        <v>0.1721</v>
      </c>
      <c r="AR7" s="57">
        <v>0.1</v>
      </c>
      <c r="AS7" s="57">
        <v>2.95</v>
      </c>
      <c r="AT7" s="57">
        <v>0.21</v>
      </c>
      <c r="AU7" s="57">
        <v>0.13100000000000001</v>
      </c>
      <c r="AV7" s="57">
        <v>2</v>
      </c>
      <c r="AW7" s="57">
        <v>0.23780000000000001</v>
      </c>
      <c r="AX7" s="57">
        <v>0.14399999999999999</v>
      </c>
      <c r="AY7" s="57">
        <v>2.6</v>
      </c>
      <c r="AZ7" s="57">
        <v>0.19089999999999999</v>
      </c>
      <c r="BA7" s="57">
        <v>0.11799999999999999</v>
      </c>
      <c r="BE7" s="57">
        <v>0.24099999999999999</v>
      </c>
      <c r="BF7" s="57">
        <v>0.152</v>
      </c>
    </row>
    <row r="8" spans="1:60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  <c r="F8" s="70"/>
    </row>
    <row r="9" spans="1:60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F9" s="70"/>
      <c r="H9" s="57" t="s">
        <v>273</v>
      </c>
      <c r="I9" s="57">
        <v>2.82</v>
      </c>
      <c r="J9" s="57">
        <v>0.37359999999999999</v>
      </c>
      <c r="K9" s="57">
        <v>0.22800000000000001</v>
      </c>
      <c r="L9" s="57">
        <v>2.57</v>
      </c>
      <c r="M9" s="57">
        <v>0.26369999999999999</v>
      </c>
      <c r="N9" s="57">
        <v>0.157</v>
      </c>
      <c r="O9" s="57">
        <v>1.82</v>
      </c>
      <c r="P9" s="57">
        <v>0.37</v>
      </c>
      <c r="Q9" s="57">
        <v>0.218</v>
      </c>
      <c r="R9" s="57">
        <v>2.7090000000000001</v>
      </c>
      <c r="S9" s="57">
        <v>0.27029999999999998</v>
      </c>
      <c r="T9" s="57">
        <v>0.159</v>
      </c>
      <c r="AB9" s="57"/>
      <c r="AC9" s="57"/>
      <c r="AD9" s="57"/>
      <c r="AE9" s="57"/>
      <c r="AF9" s="57"/>
      <c r="AG9" s="57">
        <v>1.4173</v>
      </c>
      <c r="AH9" s="57">
        <v>0.84899999999999998</v>
      </c>
      <c r="AJ9" s="57">
        <v>2.9</v>
      </c>
      <c r="AK9" s="57">
        <v>0.28810000000000002</v>
      </c>
      <c r="AL9" s="57">
        <v>0.17499999999999999</v>
      </c>
      <c r="AM9" s="57">
        <v>1.69</v>
      </c>
      <c r="AN9" s="57">
        <v>0.28399999999999997</v>
      </c>
      <c r="AO9" s="57">
        <v>0.16600000000000001</v>
      </c>
      <c r="AP9" s="57">
        <v>1.7</v>
      </c>
      <c r="AQ9" s="57">
        <v>0.2087</v>
      </c>
      <c r="AR9" s="57">
        <v>0.126</v>
      </c>
      <c r="AS9" s="57">
        <v>1.65</v>
      </c>
      <c r="AT9" s="57">
        <v>0.36809999999999998</v>
      </c>
      <c r="AU9" s="57">
        <v>0.22600000000000001</v>
      </c>
      <c r="BE9" s="57">
        <v>1.0383</v>
      </c>
      <c r="BF9" s="57">
        <v>0.62</v>
      </c>
    </row>
    <row r="10" spans="1:60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  <c r="F10" s="70"/>
    </row>
    <row r="11" spans="1:60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F11" s="70"/>
    </row>
    <row r="12" spans="1:60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  <c r="F12" s="70"/>
    </row>
    <row r="13" spans="1:60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  <c r="F13" s="70"/>
    </row>
    <row r="14" spans="1:60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F14" s="70"/>
    </row>
    <row r="15" spans="1:60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  <c r="F15" s="70"/>
    </row>
    <row r="16" spans="1:60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  <c r="F16" s="70"/>
    </row>
    <row r="17" spans="1:60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F17" s="70"/>
    </row>
    <row r="18" spans="1:60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F18" s="70"/>
    </row>
    <row r="19" spans="1:60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  <c r="F19" s="70"/>
    </row>
    <row r="20" spans="1:60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F20" s="70"/>
    </row>
    <row r="21" spans="1:60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  <c r="F21" s="70"/>
    </row>
    <row r="22" spans="1:60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  <c r="F22" s="70"/>
    </row>
    <row r="23" spans="1:60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  <c r="F23" s="70"/>
    </row>
    <row r="24" spans="1:60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F24" s="70"/>
      <c r="H24" s="70">
        <v>44628</v>
      </c>
      <c r="I24" s="57">
        <v>1.82</v>
      </c>
      <c r="L24" s="57">
        <v>1.5189999999999999</v>
      </c>
      <c r="O24" s="57">
        <v>1.63</v>
      </c>
      <c r="AG24" s="57">
        <v>0.57540000000000002</v>
      </c>
      <c r="AH24" s="57">
        <v>0.20599999999999999</v>
      </c>
      <c r="AJ24" s="57">
        <v>1.65</v>
      </c>
      <c r="AK24" s="57">
        <v>6.2199999999999998E-2</v>
      </c>
      <c r="AL24" s="57">
        <v>2.3E-2</v>
      </c>
      <c r="AM24" s="57">
        <v>2.8</v>
      </c>
      <c r="AN24" s="57">
        <v>0.1227</v>
      </c>
      <c r="AO24" s="57">
        <v>6.7000000000000004E-2</v>
      </c>
      <c r="AP24" s="57">
        <v>1.85</v>
      </c>
      <c r="AQ24" s="57">
        <v>0.14119999999999999</v>
      </c>
      <c r="AR24" s="57">
        <v>5.0999999999999997E-2</v>
      </c>
      <c r="BE24" s="57">
        <v>2.0148999999999999</v>
      </c>
      <c r="BH24" s="57" t="s">
        <v>274</v>
      </c>
    </row>
    <row r="25" spans="1:60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  <c r="F25" s="70"/>
      <c r="H25" s="70">
        <v>44628</v>
      </c>
      <c r="I25" s="57">
        <v>1.538</v>
      </c>
      <c r="L25" s="57">
        <v>1.478</v>
      </c>
      <c r="AG25" s="57">
        <v>0.63639999999999997</v>
      </c>
      <c r="AH25" s="57">
        <v>0.22700000000000001</v>
      </c>
      <c r="AJ25" s="57">
        <v>2.0099999999999998</v>
      </c>
      <c r="AK25" s="57">
        <v>0.3206</v>
      </c>
      <c r="AL25" s="57">
        <v>0.112</v>
      </c>
      <c r="AM25" s="57">
        <v>3</v>
      </c>
      <c r="AN25" s="57">
        <v>0.15459999999999999</v>
      </c>
      <c r="AO25" s="57">
        <v>8.2000000000000003E-2</v>
      </c>
      <c r="AP25" s="57">
        <v>1.85</v>
      </c>
      <c r="AQ25" s="57">
        <v>0.1376</v>
      </c>
      <c r="AR25" s="57">
        <v>0.13200000000000001</v>
      </c>
      <c r="BE25" s="57">
        <v>0.17399999999999999</v>
      </c>
      <c r="BF25" s="57">
        <v>0.72</v>
      </c>
    </row>
    <row r="26" spans="1:60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F26" s="70"/>
    </row>
    <row r="27" spans="1:60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F27" s="70"/>
      <c r="H27" s="70">
        <v>44628</v>
      </c>
      <c r="I27" s="57">
        <v>1.49</v>
      </c>
      <c r="L27" s="57">
        <v>1.4830000000000001</v>
      </c>
      <c r="AG27" s="57">
        <v>0.30030000000000001</v>
      </c>
      <c r="AH27" s="57">
        <v>0.10100000000000001</v>
      </c>
      <c r="AJ27" s="57">
        <v>2.1989999999999998</v>
      </c>
      <c r="AK27" s="57">
        <v>5.3600000000000002E-2</v>
      </c>
      <c r="AM27" s="57">
        <v>2.3050000000000002</v>
      </c>
      <c r="AN27" s="57">
        <v>3.6200000000000003E-2</v>
      </c>
      <c r="AP27" s="57">
        <v>2.2400000000000002</v>
      </c>
      <c r="AQ27" s="57">
        <v>2.06E-2</v>
      </c>
      <c r="BE27" s="57">
        <v>0.50309999999999999</v>
      </c>
      <c r="BF27" s="57">
        <v>0.23300000000000001</v>
      </c>
      <c r="BH27" s="57" t="s">
        <v>275</v>
      </c>
    </row>
    <row r="28" spans="1:60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F28" s="70"/>
    </row>
    <row r="29" spans="1:60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F29" s="70"/>
    </row>
    <row r="30" spans="1:60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F30" s="70"/>
      <c r="H30" s="70">
        <v>44628</v>
      </c>
      <c r="I30" s="57">
        <v>1.46</v>
      </c>
      <c r="L30" s="57">
        <v>1.4419999999999999</v>
      </c>
      <c r="AG30" s="33">
        <f>0.2124+0.339</f>
        <v>0.5514</v>
      </c>
      <c r="AH30" s="33">
        <f>0.118+0.13</f>
        <v>0.248</v>
      </c>
      <c r="AJ30" s="57">
        <v>1.472</v>
      </c>
      <c r="AK30" s="57">
        <v>5.79E-2</v>
      </c>
      <c r="AM30" s="57">
        <v>2.41</v>
      </c>
      <c r="AN30" s="57">
        <v>0.19359999999999999</v>
      </c>
      <c r="AO30" s="57">
        <v>0.104</v>
      </c>
      <c r="AP30" s="57">
        <v>2.0649999999999999</v>
      </c>
      <c r="AQ30" s="57">
        <v>0.1857</v>
      </c>
      <c r="AR30" s="57">
        <v>9.8000000000000004E-2</v>
      </c>
      <c r="AS30" s="57">
        <v>2.86</v>
      </c>
      <c r="AT30" s="57">
        <v>0.37140000000000001</v>
      </c>
      <c r="AU30" s="57">
        <v>0.21099999999999999</v>
      </c>
      <c r="AV30" s="57">
        <v>2.1560000000000001</v>
      </c>
      <c r="AW30" s="57">
        <v>0.1188</v>
      </c>
      <c r="AX30" s="57">
        <v>6.7000000000000004E-2</v>
      </c>
      <c r="AY30" s="57">
        <v>2.3959999999999999</v>
      </c>
      <c r="AZ30" s="57">
        <v>0.13980000000000001</v>
      </c>
      <c r="BA30" s="57">
        <v>7.3999999999999996E-2</v>
      </c>
      <c r="BE30" s="57">
        <v>1.0268999999999999</v>
      </c>
      <c r="BF30" s="57">
        <v>0.54100000000000004</v>
      </c>
    </row>
    <row r="31" spans="1:60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F31" s="70"/>
      <c r="H31" s="70">
        <v>44631</v>
      </c>
      <c r="I31" s="57">
        <v>0.91</v>
      </c>
      <c r="J31" s="57">
        <v>0.29499999999999998</v>
      </c>
      <c r="K31" s="57">
        <v>0.17299999999999999</v>
      </c>
      <c r="L31" s="57">
        <v>0.751</v>
      </c>
      <c r="M31" s="57">
        <v>0.63360000000000005</v>
      </c>
      <c r="N31" s="57">
        <v>0.371</v>
      </c>
      <c r="O31" s="57">
        <v>0.80100000000000005</v>
      </c>
      <c r="P31" s="57">
        <v>0.46750000000000003</v>
      </c>
      <c r="Q31" s="57">
        <v>0.27600000000000002</v>
      </c>
      <c r="AB31" s="57"/>
      <c r="AC31" s="57"/>
      <c r="AD31" s="57"/>
      <c r="AE31" s="57"/>
      <c r="AF31" s="57"/>
      <c r="AG31" s="57">
        <v>2.0767000000000002</v>
      </c>
      <c r="AH31" s="57">
        <v>1.232</v>
      </c>
      <c r="AJ31" s="57">
        <v>2.504</v>
      </c>
      <c r="AK31" s="57">
        <v>0.23769999999999999</v>
      </c>
      <c r="AL31" s="57">
        <v>0.14099999999999999</v>
      </c>
      <c r="AM31" s="57">
        <v>2.2309999999999999</v>
      </c>
      <c r="AN31" s="57">
        <v>0.3211</v>
      </c>
      <c r="AO31" s="57">
        <v>0.192</v>
      </c>
      <c r="AP31" s="57">
        <v>2.0169999999999999</v>
      </c>
      <c r="AQ31" s="57">
        <v>0.39910000000000001</v>
      </c>
      <c r="AR31" s="57">
        <v>0.23499999999999999</v>
      </c>
      <c r="AS31" s="57">
        <v>4.306</v>
      </c>
      <c r="AT31" s="57">
        <v>0.32229999999999998</v>
      </c>
      <c r="AU31" s="57">
        <v>0.20699999999999999</v>
      </c>
      <c r="AV31" s="57">
        <v>2.8359999999999999</v>
      </c>
      <c r="AW31" s="57">
        <v>0.55889999999999995</v>
      </c>
      <c r="AX31" s="57">
        <v>0.32800000000000001</v>
      </c>
      <c r="AY31" s="57">
        <v>2.2040000000000002</v>
      </c>
      <c r="AZ31" s="57">
        <v>0.22489999999999999</v>
      </c>
      <c r="BA31" s="57">
        <v>0.13300000000000001</v>
      </c>
      <c r="BE31" s="57">
        <v>1.8261000000000001</v>
      </c>
      <c r="BF31" s="57">
        <v>1.089</v>
      </c>
    </row>
    <row r="32" spans="1:60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F32" s="70"/>
      <c r="H32" s="70">
        <v>44628</v>
      </c>
      <c r="I32" s="57">
        <v>0.35299999999999998</v>
      </c>
      <c r="K32" s="57">
        <v>0.13600000000000001</v>
      </c>
      <c r="L32" s="57">
        <v>0.38</v>
      </c>
      <c r="N32" s="57">
        <v>0.14299999999999999</v>
      </c>
      <c r="Q32" s="57">
        <v>0.11</v>
      </c>
      <c r="T32" s="57">
        <v>0.105</v>
      </c>
      <c r="W32" s="57">
        <v>0.128</v>
      </c>
      <c r="AJ32" s="57">
        <v>1.4</v>
      </c>
      <c r="AK32" s="57">
        <v>0.3175</v>
      </c>
      <c r="AL32" s="57">
        <v>0.111</v>
      </c>
      <c r="AM32" s="57">
        <v>1.45</v>
      </c>
      <c r="AN32" s="57">
        <v>0.53879999999999995</v>
      </c>
      <c r="AO32" s="57">
        <v>0.17399999999999999</v>
      </c>
      <c r="AP32" s="57">
        <v>3</v>
      </c>
      <c r="AQ32" s="57">
        <v>0.2172</v>
      </c>
      <c r="AR32" s="57">
        <v>0.13</v>
      </c>
      <c r="AS32" s="57">
        <v>3.15</v>
      </c>
      <c r="AT32" s="57">
        <v>0.2361</v>
      </c>
      <c r="AU32" s="57">
        <v>0.14399999999999999</v>
      </c>
      <c r="AV32" s="57">
        <v>1.55</v>
      </c>
      <c r="AW32" s="57">
        <v>0.26140000000000002</v>
      </c>
      <c r="AX32" s="57">
        <v>8.4000000000000005E-2</v>
      </c>
      <c r="AY32" s="57">
        <v>2.75</v>
      </c>
      <c r="AZ32" s="57">
        <v>0.21060000000000001</v>
      </c>
      <c r="BA32" s="57">
        <v>0.13600000000000001</v>
      </c>
      <c r="BE32" s="33">
        <f>0.3702+0.2041</f>
        <v>0.57430000000000003</v>
      </c>
      <c r="BF32" s="57">
        <v>0.25700000000000001</v>
      </c>
      <c r="BH32" s="57" t="s">
        <v>276</v>
      </c>
    </row>
    <row r="33" spans="1:60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F33" s="70"/>
      <c r="H33" s="57" t="s">
        <v>273</v>
      </c>
      <c r="I33" s="57">
        <v>0.92300000000000004</v>
      </c>
      <c r="J33" s="57">
        <v>0.1487</v>
      </c>
      <c r="K33" s="57">
        <v>6.3E-2</v>
      </c>
      <c r="L33" s="57">
        <v>1.05</v>
      </c>
      <c r="M33" s="57">
        <v>0.2162</v>
      </c>
      <c r="N33" s="57">
        <v>9.2999999999999999E-2</v>
      </c>
      <c r="O33" s="57">
        <v>1.1000000000000001</v>
      </c>
      <c r="P33" s="57">
        <v>0.1613</v>
      </c>
      <c r="Q33" s="57">
        <v>6.9000000000000006E-2</v>
      </c>
      <c r="AB33" s="57"/>
      <c r="AC33" s="57"/>
      <c r="AD33" s="57"/>
      <c r="AE33" s="57"/>
      <c r="AF33" s="57"/>
      <c r="AG33" s="57">
        <v>3.1114000000000002</v>
      </c>
      <c r="AH33" s="57">
        <v>1.3080000000000001</v>
      </c>
      <c r="AJ33" s="57">
        <v>1.85</v>
      </c>
      <c r="AK33" s="57">
        <v>0.15329999999999999</v>
      </c>
      <c r="AL33" s="57">
        <v>6.2E-2</v>
      </c>
      <c r="AM33" s="57">
        <v>2</v>
      </c>
      <c r="AN33" s="57">
        <v>0.17849999999999999</v>
      </c>
      <c r="AO33" s="57">
        <v>7.4999999999999997E-2</v>
      </c>
      <c r="AP33" s="57">
        <v>1.8</v>
      </c>
      <c r="AQ33" s="57">
        <v>0.1671</v>
      </c>
      <c r="AR33" s="57">
        <v>7.0000000000000007E-2</v>
      </c>
      <c r="AS33" s="57">
        <v>1.5</v>
      </c>
      <c r="AT33" s="57">
        <v>0.16900000000000001</v>
      </c>
      <c r="AU33" s="57">
        <v>7.1999999999999995E-2</v>
      </c>
      <c r="BE33" s="57">
        <v>0.8256</v>
      </c>
      <c r="BF33" s="57">
        <v>0.34499999999999997</v>
      </c>
    </row>
    <row r="34" spans="1:60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F34" s="70"/>
      <c r="H34" s="70">
        <v>44631</v>
      </c>
      <c r="I34" s="57">
        <v>1.2010000000000001</v>
      </c>
      <c r="J34" s="57">
        <v>0.16650000000000001</v>
      </c>
      <c r="L34" s="57">
        <v>1.44</v>
      </c>
      <c r="M34" s="57">
        <v>0.16850000000000001</v>
      </c>
      <c r="O34" s="57">
        <v>1.1240000000000001</v>
      </c>
      <c r="P34" s="57">
        <v>0.22420000000000001</v>
      </c>
      <c r="R34" s="57">
        <v>1.19</v>
      </c>
      <c r="S34" s="57">
        <v>8.7999999999999995E-2</v>
      </c>
      <c r="AB34" s="57"/>
      <c r="AC34" s="57"/>
      <c r="AD34" s="57"/>
      <c r="AE34" s="57"/>
      <c r="AF34" s="57"/>
      <c r="AG34" s="57">
        <v>1.8815</v>
      </c>
    </row>
    <row r="35" spans="1:60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F35" s="70"/>
      <c r="H35" s="70">
        <v>44628</v>
      </c>
      <c r="I35" s="57">
        <v>1.07</v>
      </c>
      <c r="K35" s="57">
        <v>5.8999999999999997E-2</v>
      </c>
      <c r="L35" s="57">
        <v>0.54900000000000004</v>
      </c>
      <c r="N35" s="57">
        <v>5.3999999999999999E-2</v>
      </c>
      <c r="O35" s="57">
        <v>1.0309999999999999</v>
      </c>
      <c r="Q35" s="57">
        <v>0.15</v>
      </c>
      <c r="R35" s="57">
        <v>0.54900000000000004</v>
      </c>
      <c r="U35" s="57">
        <v>0.49</v>
      </c>
      <c r="AJ35" s="57">
        <v>2.37</v>
      </c>
      <c r="AK35" s="57">
        <v>0.216</v>
      </c>
      <c r="AL35" s="57">
        <v>0.13300000000000001</v>
      </c>
      <c r="AM35" s="57">
        <v>2.94</v>
      </c>
      <c r="AN35" s="57">
        <v>0.30649999999999999</v>
      </c>
      <c r="AO35" s="57">
        <v>0.186</v>
      </c>
      <c r="AP35" s="57">
        <v>2.87</v>
      </c>
      <c r="AQ35" s="57">
        <v>0.14130000000000001</v>
      </c>
      <c r="AR35" s="57">
        <v>8.5999999999999993E-2</v>
      </c>
      <c r="AS35" s="57">
        <v>3.1389999999999998</v>
      </c>
      <c r="AT35" s="57">
        <v>0.21160000000000001</v>
      </c>
      <c r="AU35" s="57">
        <v>0.14099999999999999</v>
      </c>
      <c r="BE35" s="57">
        <v>0.1225</v>
      </c>
      <c r="BF35" s="57">
        <v>0.748</v>
      </c>
      <c r="BH35" s="57" t="s">
        <v>277</v>
      </c>
    </row>
    <row r="36" spans="1:60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  <c r="F36" s="70"/>
    </row>
    <row r="37" spans="1:60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  <c r="F37" s="70"/>
    </row>
    <row r="38" spans="1:60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  <c r="F38" s="70"/>
    </row>
    <row r="39" spans="1:60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  <c r="F39" s="70"/>
    </row>
    <row r="40" spans="1:60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  <c r="F40" s="70"/>
    </row>
    <row r="41" spans="1:60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  <c r="F41" s="70"/>
    </row>
    <row r="42" spans="1:60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F42" s="70"/>
      <c r="H42" s="70">
        <v>44628</v>
      </c>
      <c r="I42" s="57">
        <v>1.1599999999999999</v>
      </c>
      <c r="L42" s="57">
        <v>1.33</v>
      </c>
      <c r="O42" s="57">
        <v>1.228</v>
      </c>
      <c r="AG42" s="57">
        <v>0.1444</v>
      </c>
      <c r="AH42" s="57">
        <v>4.7E-2</v>
      </c>
    </row>
    <row r="43" spans="1:60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F43" s="70"/>
    </row>
    <row r="44" spans="1:60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  <c r="F44" s="70"/>
    </row>
    <row r="45" spans="1:60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F45" s="70"/>
    </row>
    <row r="46" spans="1:60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F46" s="70"/>
      <c r="H46" s="70">
        <v>44628</v>
      </c>
      <c r="I46" s="57">
        <v>0.255</v>
      </c>
      <c r="K46" s="57">
        <v>0.156</v>
      </c>
      <c r="L46" s="57">
        <v>0.40699999999999997</v>
      </c>
      <c r="N46" s="57">
        <v>0.14799999999999999</v>
      </c>
      <c r="O46" s="57">
        <v>0.24299999999999999</v>
      </c>
      <c r="Q46" s="57">
        <v>0.153</v>
      </c>
      <c r="T46" s="57">
        <v>0.152</v>
      </c>
      <c r="W46" s="57">
        <v>0.13600000000000001</v>
      </c>
      <c r="Z46" s="57">
        <v>9.5000000000000001E-2</v>
      </c>
      <c r="AC46" s="57">
        <v>7.9000000000000001E-2</v>
      </c>
      <c r="AJ46" s="57">
        <v>1.0529999999999999</v>
      </c>
      <c r="AK46" s="57">
        <v>0.27429999999999999</v>
      </c>
      <c r="AL46" s="57">
        <v>0.157</v>
      </c>
      <c r="AM46" s="57">
        <v>1.6180000000000001</v>
      </c>
      <c r="AN46" s="57">
        <v>1.6180000000000001</v>
      </c>
      <c r="AO46" s="57">
        <v>0.16600000000000001</v>
      </c>
      <c r="AP46" s="57">
        <v>1.4</v>
      </c>
      <c r="AQ46" s="57">
        <v>0.3105</v>
      </c>
      <c r="AR46" s="57">
        <v>0.17699999999999999</v>
      </c>
      <c r="AS46" s="57">
        <v>1.02</v>
      </c>
      <c r="AT46" s="57">
        <v>0.23380000000000001</v>
      </c>
      <c r="AU46" s="57">
        <v>0.13800000000000001</v>
      </c>
      <c r="AV46" s="57">
        <v>1.4930000000000001</v>
      </c>
      <c r="AW46" s="57">
        <v>0.19839999999999999</v>
      </c>
      <c r="AX46" s="57">
        <v>0.11600000000000001</v>
      </c>
      <c r="AY46" s="57">
        <v>1.53</v>
      </c>
      <c r="AZ46" s="57">
        <v>0.18060000000000001</v>
      </c>
      <c r="BA46" s="57">
        <v>0.105</v>
      </c>
      <c r="BE46" s="57">
        <v>0.69810000000000005</v>
      </c>
      <c r="BF46" s="57">
        <v>0.39800000000000002</v>
      </c>
      <c r="BH46" s="57" t="s">
        <v>278</v>
      </c>
    </row>
    <row r="47" spans="1:60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F47" s="70"/>
      <c r="H47" s="70">
        <v>44628</v>
      </c>
      <c r="I47" s="57">
        <v>1.1599999999999999</v>
      </c>
      <c r="K47" s="57">
        <v>3.5000000000000003E-2</v>
      </c>
      <c r="L47" s="57">
        <v>1.3320000000000001</v>
      </c>
      <c r="N47" s="57">
        <v>5.0999999999999997E-2</v>
      </c>
      <c r="O47" s="57">
        <v>1.18</v>
      </c>
      <c r="Q47" s="57">
        <v>4.3999999999999997E-2</v>
      </c>
      <c r="T47" s="57">
        <v>2.5000000000000001E-2</v>
      </c>
      <c r="W47" s="57">
        <v>3.5000000000000003E-2</v>
      </c>
      <c r="Z47" s="57">
        <v>3.3000000000000002E-2</v>
      </c>
      <c r="AC47" s="57">
        <v>2.8000000000000001E-2</v>
      </c>
      <c r="AJ47" s="57">
        <v>2.23</v>
      </c>
      <c r="AK47" s="57">
        <v>7.2900000000000006E-2</v>
      </c>
      <c r="AL47" s="57">
        <v>0.04</v>
      </c>
      <c r="AM47" s="57">
        <v>2.2599999999999998</v>
      </c>
      <c r="AN47" s="57">
        <v>0.14380000000000001</v>
      </c>
      <c r="AO47" s="57">
        <v>7.9000000000000001E-2</v>
      </c>
      <c r="AP47" s="57">
        <v>2.4089999999999998</v>
      </c>
      <c r="AQ47" s="57">
        <v>7.8100000000000003E-2</v>
      </c>
      <c r="AR47" s="57">
        <v>4.2000000000000003E-2</v>
      </c>
      <c r="BE47" s="57">
        <v>0.72440000000000004</v>
      </c>
      <c r="BF47" s="57">
        <v>0.39500000000000002</v>
      </c>
    </row>
    <row r="48" spans="1:60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F48" s="70"/>
      <c r="AJ48" s="57">
        <v>3.18</v>
      </c>
      <c r="AK48" s="57">
        <v>0.26929999999999998</v>
      </c>
      <c r="AL48" s="57">
        <v>0.15</v>
      </c>
      <c r="AM48" s="57">
        <v>1.984</v>
      </c>
      <c r="AN48" s="57">
        <v>0.23499999999999999</v>
      </c>
      <c r="AO48" s="57">
        <v>0.125</v>
      </c>
      <c r="AP48" s="57">
        <v>1.9410000000000001</v>
      </c>
      <c r="AQ48" s="57">
        <v>0.183</v>
      </c>
      <c r="AR48" s="57">
        <v>0.1</v>
      </c>
      <c r="AS48" s="57">
        <v>1.9219999999999999</v>
      </c>
      <c r="AT48" s="57">
        <v>0.19120000000000001</v>
      </c>
      <c r="AU48" s="57">
        <v>0.10199999999999999</v>
      </c>
      <c r="BE48" s="57">
        <v>0.57189999999999996</v>
      </c>
      <c r="BF48" s="57">
        <v>0.30099999999999999</v>
      </c>
    </row>
    <row r="49" spans="1:60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  <c r="F49" s="70"/>
      <c r="H49" s="70">
        <v>44628</v>
      </c>
      <c r="I49" s="57">
        <v>1.97</v>
      </c>
      <c r="L49" s="57">
        <v>2.36</v>
      </c>
      <c r="O49" s="57">
        <v>2.1800000000000002</v>
      </c>
      <c r="R49" s="57">
        <v>2.302</v>
      </c>
      <c r="BH49" s="57" t="s">
        <v>279</v>
      </c>
    </row>
    <row r="50" spans="1:60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  <c r="F50" s="70"/>
      <c r="H50" s="70">
        <v>44628</v>
      </c>
      <c r="I50" s="57">
        <v>2.57</v>
      </c>
      <c r="L50" s="57">
        <v>2.2170000000000001</v>
      </c>
      <c r="O50" s="57">
        <v>2.5129999999999999</v>
      </c>
      <c r="BH50" s="57" t="s">
        <v>86</v>
      </c>
    </row>
    <row r="51" spans="1:60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  <c r="F51" s="70"/>
    </row>
    <row r="52" spans="1:60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  <c r="F52" s="70"/>
    </row>
    <row r="53" spans="1:60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F53" s="70"/>
    </row>
    <row r="54" spans="1:60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  <c r="F54" s="70"/>
    </row>
    <row r="55" spans="1:60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  <c r="F55" s="70"/>
    </row>
    <row r="56" spans="1:60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  <c r="F56" s="70"/>
    </row>
    <row r="57" spans="1:60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  <c r="F57" s="70"/>
    </row>
    <row r="58" spans="1:60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  <c r="F58" s="70"/>
    </row>
    <row r="59" spans="1:60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  <c r="F59" s="70"/>
    </row>
    <row r="60" spans="1:60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  <c r="F60" s="70"/>
    </row>
    <row r="61" spans="1:60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  <c r="F61" s="70"/>
    </row>
    <row r="62" spans="1:60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  <c r="F62" s="70"/>
    </row>
    <row r="63" spans="1:60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  <c r="F63" s="70"/>
    </row>
    <row r="64" spans="1:60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  <c r="F64" s="70"/>
    </row>
    <row r="65" spans="1:58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  <c r="F65" s="70"/>
    </row>
    <row r="66" spans="1:58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  <c r="F66" s="70"/>
    </row>
    <row r="67" spans="1:58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  <c r="F67" s="70"/>
    </row>
    <row r="68" spans="1:58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  <c r="F68" s="70"/>
    </row>
    <row r="69" spans="1:58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  <c r="F69" s="70"/>
    </row>
    <row r="70" spans="1:58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  <c r="F70" s="70"/>
    </row>
    <row r="71" spans="1:58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  <c r="F71" s="70"/>
    </row>
    <row r="72" spans="1:58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  <c r="F72" s="70"/>
    </row>
    <row r="73" spans="1:58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  <c r="F73" s="70"/>
    </row>
    <row r="74" spans="1:58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  <c r="F74" s="70"/>
    </row>
    <row r="75" spans="1:58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F75" s="70"/>
      <c r="H75" s="70">
        <v>44631</v>
      </c>
      <c r="I75" s="57">
        <v>0.92700000000000005</v>
      </c>
      <c r="J75" s="57">
        <v>0.32650000000000001</v>
      </c>
      <c r="K75" s="57">
        <v>0.19800000000000001</v>
      </c>
      <c r="L75" s="57">
        <v>0.94</v>
      </c>
      <c r="M75" s="57">
        <v>0.37140000000000001</v>
      </c>
      <c r="N75" s="57">
        <v>0.22</v>
      </c>
      <c r="AB75" s="57"/>
      <c r="AC75" s="57"/>
      <c r="AD75" s="57"/>
      <c r="AE75" s="57"/>
      <c r="AF75" s="57"/>
      <c r="AG75" s="57">
        <v>1.5817000000000001</v>
      </c>
      <c r="AH75" s="57">
        <v>0.94399999999999995</v>
      </c>
      <c r="AJ75" s="57">
        <v>2.14</v>
      </c>
      <c r="AK75" s="57">
        <v>0.30220000000000002</v>
      </c>
      <c r="AL75" s="57">
        <v>0.17699999999999999</v>
      </c>
      <c r="AM75" s="57">
        <v>2.3420000000000001</v>
      </c>
      <c r="AN75" s="57">
        <v>0.25090000000000001</v>
      </c>
      <c r="AO75" s="57">
        <v>0.15</v>
      </c>
      <c r="AP75" s="57">
        <v>2.206</v>
      </c>
      <c r="AQ75" s="57">
        <v>0.1918</v>
      </c>
      <c r="AR75" s="57">
        <v>0.113</v>
      </c>
      <c r="BE75" s="57">
        <v>1.1843999999999999</v>
      </c>
      <c r="BF75" s="57">
        <v>0.69799999999999995</v>
      </c>
    </row>
    <row r="76" spans="1:58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  <c r="F76" s="70"/>
    </row>
    <row r="77" spans="1:58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  <c r="F77" s="70"/>
    </row>
    <row r="78" spans="1:58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  <c r="F78" s="70"/>
    </row>
    <row r="79" spans="1:58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  <c r="F79" s="70"/>
    </row>
    <row r="80" spans="1:58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  <c r="F80" s="70"/>
    </row>
    <row r="81" spans="1:60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  <c r="F81" s="70"/>
      <c r="H81" s="70">
        <v>44631</v>
      </c>
      <c r="I81" s="57">
        <v>1.23</v>
      </c>
      <c r="J81" s="57">
        <v>4.0099999999999997E-2</v>
      </c>
      <c r="L81" s="57">
        <v>1.4</v>
      </c>
      <c r="M81" s="57">
        <v>1.67E-2</v>
      </c>
      <c r="O81" s="57">
        <v>0.67</v>
      </c>
      <c r="P81" s="57">
        <v>2.8500000000000001E-2</v>
      </c>
      <c r="R81" s="57">
        <v>1.25</v>
      </c>
      <c r="S81" s="57">
        <v>1.9599999999999999E-2</v>
      </c>
      <c r="AB81" s="57"/>
      <c r="AC81" s="57"/>
      <c r="AD81" s="57"/>
      <c r="AE81" s="57"/>
      <c r="AF81" s="57"/>
      <c r="AG81" s="57">
        <v>8.319E-2</v>
      </c>
      <c r="AH81" s="57">
        <v>0.35099999999999998</v>
      </c>
    </row>
    <row r="82" spans="1:60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F82" s="70"/>
      <c r="H82" s="70">
        <v>44631</v>
      </c>
      <c r="I82" s="57">
        <v>0.94099999999999995</v>
      </c>
      <c r="J82" s="57">
        <v>0.30630000000000002</v>
      </c>
      <c r="K82" s="57">
        <v>0.18099999999999999</v>
      </c>
      <c r="L82" s="57">
        <v>1.08</v>
      </c>
      <c r="M82" s="57">
        <v>0.4743</v>
      </c>
      <c r="N82" s="57">
        <v>0.27400000000000002</v>
      </c>
      <c r="AB82" s="57"/>
      <c r="AC82" s="57"/>
      <c r="AD82" s="57"/>
      <c r="AE82" s="57"/>
      <c r="AF82" s="57"/>
      <c r="AG82" s="57">
        <v>2.6320999999999999</v>
      </c>
      <c r="AH82" s="57">
        <v>1.5109999999999999</v>
      </c>
      <c r="AJ82" s="57">
        <v>2.2599999999999998</v>
      </c>
      <c r="AK82" s="57">
        <v>0.51600000000000001</v>
      </c>
      <c r="AL82" s="57">
        <v>0.29699999999999999</v>
      </c>
      <c r="AM82" s="57">
        <v>2.61</v>
      </c>
      <c r="AN82" s="57">
        <v>0.28820000000000001</v>
      </c>
      <c r="AO82" s="57">
        <v>0.16500000000000001</v>
      </c>
      <c r="AP82" s="57">
        <v>2.1120000000000001</v>
      </c>
      <c r="AQ82" s="57">
        <v>0.3896</v>
      </c>
      <c r="AR82" s="57">
        <v>0.222</v>
      </c>
      <c r="AS82" s="57">
        <v>2.19</v>
      </c>
      <c r="AT82" s="57">
        <v>0.39779999999999999</v>
      </c>
      <c r="AU82" s="57">
        <v>0.22500000000000001</v>
      </c>
      <c r="BE82" s="57">
        <v>1.7593000000000001</v>
      </c>
      <c r="BF82" s="57">
        <v>1.0209999999999999</v>
      </c>
    </row>
    <row r="83" spans="1:60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  <c r="F83" s="70"/>
    </row>
    <row r="84" spans="1:60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  <c r="F84" s="70"/>
    </row>
    <row r="85" spans="1:60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  <c r="F85" s="70"/>
    </row>
    <row r="86" spans="1:60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  <c r="F86" s="70"/>
    </row>
    <row r="87" spans="1:60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  <c r="F87" s="70"/>
    </row>
    <row r="88" spans="1:60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  <c r="F88" s="70"/>
    </row>
    <row r="89" spans="1:60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  <c r="F89" s="70"/>
    </row>
    <row r="90" spans="1:60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  <c r="F90" s="70"/>
    </row>
    <row r="91" spans="1:60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F91" s="70"/>
      <c r="H91" s="70">
        <v>44628</v>
      </c>
      <c r="I91" s="57">
        <v>1.5620000000000001</v>
      </c>
      <c r="L91" s="57">
        <v>1.3879999999999999</v>
      </c>
      <c r="O91" s="57">
        <v>1.401</v>
      </c>
      <c r="BH91" s="57" t="s">
        <v>86</v>
      </c>
    </row>
    <row r="92" spans="1:60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F92" s="70"/>
      <c r="H92" s="70">
        <v>44631</v>
      </c>
      <c r="I92" s="57">
        <v>1.2010000000000001</v>
      </c>
      <c r="L92" s="57">
        <v>1.29</v>
      </c>
    </row>
    <row r="93" spans="1:60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F93" s="70"/>
      <c r="H93" s="70">
        <v>44631</v>
      </c>
      <c r="I93" s="57">
        <v>1.52</v>
      </c>
      <c r="L93" s="57">
        <v>1.45</v>
      </c>
    </row>
    <row r="94" spans="1:60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  <c r="F94" s="70"/>
      <c r="H94" s="70">
        <v>44631</v>
      </c>
      <c r="I94" s="57">
        <v>1.42</v>
      </c>
      <c r="J94" s="57">
        <v>1.37E-2</v>
      </c>
      <c r="L94" s="57">
        <v>1.44</v>
      </c>
      <c r="M94" s="57">
        <v>7.1999999999999998E-3</v>
      </c>
      <c r="AB94" s="57"/>
      <c r="AC94" s="57"/>
      <c r="AD94" s="57"/>
      <c r="AE94" s="57"/>
      <c r="AF94" s="57"/>
      <c r="AG94" s="57">
        <v>0.92500000000000004</v>
      </c>
      <c r="AH94" s="57">
        <v>0.315</v>
      </c>
    </row>
    <row r="95" spans="1:60" x14ac:dyDescent="0.2">
      <c r="A95" s="2"/>
      <c r="B95" s="76" t="s">
        <v>60</v>
      </c>
      <c r="C95" s="2" t="s">
        <v>112</v>
      </c>
      <c r="D95" s="3" t="s">
        <v>64</v>
      </c>
      <c r="E95" s="3"/>
      <c r="F95" s="70"/>
    </row>
    <row r="96" spans="1:60" x14ac:dyDescent="0.2">
      <c r="A96" s="2"/>
      <c r="B96" s="76" t="s">
        <v>60</v>
      </c>
      <c r="C96" s="2" t="s">
        <v>112</v>
      </c>
      <c r="D96" s="3" t="s">
        <v>64</v>
      </c>
      <c r="E96" s="3"/>
      <c r="F96" s="70"/>
    </row>
    <row r="97" spans="1:60" x14ac:dyDescent="0.2">
      <c r="A97" s="2"/>
      <c r="B97" s="76" t="s">
        <v>60</v>
      </c>
      <c r="C97" s="2" t="s">
        <v>112</v>
      </c>
      <c r="D97" s="3" t="s">
        <v>64</v>
      </c>
      <c r="E97" s="3"/>
      <c r="F97" s="70"/>
    </row>
    <row r="98" spans="1:60" x14ac:dyDescent="0.2">
      <c r="A98" s="2"/>
      <c r="B98" s="76" t="s">
        <v>60</v>
      </c>
      <c r="C98" s="2" t="s">
        <v>112</v>
      </c>
      <c r="D98" s="3" t="s">
        <v>64</v>
      </c>
      <c r="E98" s="3"/>
      <c r="F98" s="70"/>
    </row>
    <row r="99" spans="1:60" x14ac:dyDescent="0.2">
      <c r="A99" s="2"/>
      <c r="B99" s="76" t="s">
        <v>60</v>
      </c>
      <c r="C99" s="2" t="s">
        <v>112</v>
      </c>
      <c r="D99" s="3" t="s">
        <v>64</v>
      </c>
      <c r="E99" s="3"/>
      <c r="F99" s="70"/>
    </row>
    <row r="100" spans="1:60" x14ac:dyDescent="0.2">
      <c r="A100" s="2"/>
      <c r="B100" s="76" t="s">
        <v>60</v>
      </c>
      <c r="C100" s="2" t="s">
        <v>113</v>
      </c>
      <c r="D100" s="3" t="s">
        <v>64</v>
      </c>
      <c r="E100" s="3"/>
      <c r="F100" s="70"/>
    </row>
    <row r="101" spans="1:60" x14ac:dyDescent="0.2">
      <c r="A101" s="2"/>
      <c r="B101" s="76" t="s">
        <v>60</v>
      </c>
      <c r="C101" s="2" t="s">
        <v>113</v>
      </c>
      <c r="D101" s="3" t="s">
        <v>64</v>
      </c>
      <c r="E101" s="3"/>
      <c r="F101" s="70"/>
    </row>
    <row r="102" spans="1:60" x14ac:dyDescent="0.2">
      <c r="A102" s="2"/>
      <c r="B102" s="76" t="s">
        <v>60</v>
      </c>
      <c r="C102" s="2" t="s">
        <v>113</v>
      </c>
      <c r="D102" s="3" t="s">
        <v>64</v>
      </c>
      <c r="E102" s="3"/>
      <c r="F102" s="70"/>
    </row>
    <row r="103" spans="1:60" x14ac:dyDescent="0.2">
      <c r="A103" s="2"/>
      <c r="B103" s="76" t="s">
        <v>60</v>
      </c>
      <c r="C103" s="2" t="s">
        <v>113</v>
      </c>
      <c r="D103" s="3" t="s">
        <v>64</v>
      </c>
      <c r="E103" s="3"/>
      <c r="F103" s="70"/>
    </row>
    <row r="104" spans="1:60" x14ac:dyDescent="0.2">
      <c r="A104" s="2"/>
      <c r="B104" s="76" t="s">
        <v>60</v>
      </c>
      <c r="C104" s="2" t="s">
        <v>113</v>
      </c>
      <c r="D104" s="3" t="s">
        <v>64</v>
      </c>
      <c r="E104" s="3"/>
      <c r="F104" s="70"/>
    </row>
    <row r="105" spans="1:60" x14ac:dyDescent="0.2">
      <c r="A105" s="12"/>
      <c r="B105" s="76" t="s">
        <v>60</v>
      </c>
      <c r="C105" s="12" t="s">
        <v>114</v>
      </c>
      <c r="D105" s="12" t="s">
        <v>58</v>
      </c>
      <c r="E105" s="12"/>
      <c r="F105" s="70"/>
    </row>
    <row r="106" spans="1:60" x14ac:dyDescent="0.2">
      <c r="A106" s="12"/>
      <c r="B106" s="76" t="s">
        <v>60</v>
      </c>
      <c r="C106" s="12" t="s">
        <v>114</v>
      </c>
      <c r="D106" s="12" t="s">
        <v>58</v>
      </c>
      <c r="E106" s="12"/>
      <c r="F106" s="70"/>
    </row>
    <row r="107" spans="1:60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F107" s="70"/>
      <c r="H107" s="70">
        <v>44628</v>
      </c>
      <c r="I107" s="57">
        <v>1.3160000000000001</v>
      </c>
      <c r="L107" s="57">
        <v>1.3340000000000001</v>
      </c>
      <c r="AG107" s="57">
        <v>1.8606</v>
      </c>
      <c r="AH107" s="57">
        <v>0.63900000000000001</v>
      </c>
      <c r="AJ107" s="57">
        <v>1.8560000000000001</v>
      </c>
      <c r="AK107" s="57">
        <v>0.1124</v>
      </c>
      <c r="AL107" s="57">
        <v>4.1000000000000002E-2</v>
      </c>
      <c r="AM107" s="57">
        <v>1.829</v>
      </c>
      <c r="AN107" s="57">
        <v>6.5699999999999995E-2</v>
      </c>
      <c r="AO107" s="57">
        <v>2.3E-2</v>
      </c>
      <c r="AP107" s="57">
        <v>1.8180000000000001</v>
      </c>
      <c r="AQ107" s="57">
        <v>0.1414</v>
      </c>
      <c r="AR107" s="57">
        <v>5.0999999999999997E-2</v>
      </c>
      <c r="BE107" s="57">
        <v>0.79620000000000002</v>
      </c>
      <c r="BF107" s="57">
        <v>0.28399999999999997</v>
      </c>
    </row>
    <row r="108" spans="1:60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60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60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H110" s="70">
        <v>44628</v>
      </c>
      <c r="I110" s="57">
        <v>0.79800000000000004</v>
      </c>
      <c r="L110" s="57">
        <v>0.79100000000000004</v>
      </c>
      <c r="O110" s="57">
        <v>0.82099999999999995</v>
      </c>
      <c r="AG110" s="57">
        <v>1.3191999999999999</v>
      </c>
      <c r="AH110" s="57">
        <v>0.436</v>
      </c>
      <c r="AJ110" s="57">
        <v>2.0059999999999998</v>
      </c>
      <c r="AK110" s="57">
        <v>0.23799999999999999</v>
      </c>
      <c r="AL110" s="57">
        <v>9.8000000000000004E-2</v>
      </c>
      <c r="AM110" s="57">
        <v>2.23</v>
      </c>
      <c r="AN110" s="57">
        <v>0.1203</v>
      </c>
      <c r="AO110" s="57">
        <v>4.9000000000000002E-2</v>
      </c>
      <c r="AP110" s="57">
        <v>1.9670000000000001</v>
      </c>
      <c r="AQ110" s="57">
        <v>0.1832</v>
      </c>
      <c r="AR110" s="57">
        <v>7.4999999999999997E-2</v>
      </c>
      <c r="AS110" s="57">
        <v>2.0960000000000001</v>
      </c>
      <c r="AT110" s="57">
        <v>0.16719999999999999</v>
      </c>
      <c r="AU110" s="57">
        <v>7.0999999999999994E-2</v>
      </c>
      <c r="BE110" s="57">
        <v>0.86319999999999997</v>
      </c>
      <c r="BF110" s="57">
        <v>0.33500000000000002</v>
      </c>
      <c r="BH110" s="57" t="s">
        <v>280</v>
      </c>
    </row>
    <row r="111" spans="1:60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H111" s="70">
        <v>44631</v>
      </c>
      <c r="I111" s="57">
        <v>1.02</v>
      </c>
      <c r="J111" s="57">
        <v>0.21079999999999999</v>
      </c>
      <c r="K111" s="57">
        <v>8.5999999999999993E-2</v>
      </c>
      <c r="L111" s="57">
        <v>0.89800000000000002</v>
      </c>
      <c r="M111" s="57">
        <v>0.1588</v>
      </c>
      <c r="N111" s="57">
        <v>6.8000000000000005E-2</v>
      </c>
      <c r="O111" s="57">
        <v>0.96199999999999997</v>
      </c>
      <c r="P111" s="57">
        <v>0.18720000000000001</v>
      </c>
      <c r="Q111" s="57">
        <v>8.1000000000000003E-2</v>
      </c>
      <c r="AB111" s="57"/>
      <c r="AC111" s="57"/>
      <c r="AD111" s="57"/>
      <c r="AE111" s="57"/>
      <c r="AF111" s="57"/>
      <c r="AG111" s="57">
        <v>2.0421999999999998</v>
      </c>
      <c r="AH111" s="57">
        <v>0.872</v>
      </c>
      <c r="AJ111" s="57">
        <v>2.48</v>
      </c>
      <c r="AK111" s="57">
        <v>0.11169999999999999</v>
      </c>
      <c r="AL111" s="57">
        <v>4.8000000000000001E-2</v>
      </c>
      <c r="AM111" s="57">
        <v>2.16</v>
      </c>
      <c r="AN111" s="57">
        <v>0.10100000000000001</v>
      </c>
      <c r="AO111" s="57">
        <v>4.4999999999999998E-2</v>
      </c>
      <c r="AP111" s="57">
        <v>2.4409999999999998</v>
      </c>
      <c r="AQ111" s="57">
        <v>8.8999999999999996E-2</v>
      </c>
      <c r="AR111" s="57">
        <v>3.9E-2</v>
      </c>
      <c r="BE111" s="57">
        <v>0.55379999999999996</v>
      </c>
      <c r="BF111" s="57">
        <v>0.23799999999999999</v>
      </c>
    </row>
    <row r="112" spans="1:60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H112" s="70">
        <v>44628</v>
      </c>
      <c r="I112" s="57">
        <v>1.409</v>
      </c>
      <c r="K112" s="57">
        <v>2.8000000000000001E-2</v>
      </c>
      <c r="L112" s="57">
        <v>1.49</v>
      </c>
      <c r="N112" s="57">
        <v>2.5999999999999999E-2</v>
      </c>
      <c r="Q112" s="57">
        <v>2.8000000000000001E-2</v>
      </c>
      <c r="T112" s="57">
        <v>2.1000000000000001E-2</v>
      </c>
      <c r="W112" s="57">
        <v>2.3E-2</v>
      </c>
      <c r="Z112" s="57">
        <v>2.3E-2</v>
      </c>
      <c r="AC112" s="57">
        <v>1.7000000000000001E-2</v>
      </c>
      <c r="AJ112" s="57">
        <v>2.1970000000000001</v>
      </c>
      <c r="AK112" s="57">
        <v>3.3700000000000001E-2</v>
      </c>
      <c r="AM112" s="57">
        <v>2.23</v>
      </c>
      <c r="AN112" s="57">
        <v>4.82E-2</v>
      </c>
      <c r="AP112" s="57">
        <v>2.16</v>
      </c>
      <c r="AQ112" s="57">
        <v>6.3700000000000007E-2</v>
      </c>
      <c r="BE112" s="57">
        <v>0.29609999999999997</v>
      </c>
      <c r="BF112" s="57">
        <v>0.16200000000000001</v>
      </c>
    </row>
    <row r="113" spans="1:58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  <c r="H113" s="70">
        <v>44631</v>
      </c>
      <c r="I113" s="57">
        <v>0.28999999999999998</v>
      </c>
      <c r="J113" s="57">
        <v>3.9100000000000003E-2</v>
      </c>
      <c r="K113" s="57">
        <v>1.2999999999999999E-2</v>
      </c>
      <c r="L113" s="57">
        <v>0.20499999999999999</v>
      </c>
      <c r="M113" s="57">
        <v>5.33E-2</v>
      </c>
      <c r="N113" s="57">
        <v>1.7000000000000001E-2</v>
      </c>
      <c r="O113" s="57">
        <v>0.53900000000000003</v>
      </c>
      <c r="P113" s="57">
        <v>4.7600000000000003E-2</v>
      </c>
      <c r="Q113" s="57">
        <v>1.6E-2</v>
      </c>
      <c r="R113" s="57">
        <v>0.3</v>
      </c>
      <c r="S113" s="57">
        <v>3.85E-2</v>
      </c>
      <c r="T113" s="57">
        <v>1.2999999999999999E-2</v>
      </c>
      <c r="AB113" s="57"/>
      <c r="AC113" s="57"/>
      <c r="AD113" s="57"/>
      <c r="AE113" s="57"/>
      <c r="AF113" s="57"/>
      <c r="AG113" s="57">
        <v>1.9089</v>
      </c>
      <c r="AH113" s="57">
        <v>0.63</v>
      </c>
      <c r="AJ113" s="57">
        <v>1.68</v>
      </c>
      <c r="AK113" s="57">
        <v>5.3600000000000002E-2</v>
      </c>
      <c r="AL113" s="57">
        <v>1.9E-2</v>
      </c>
      <c r="AM113" s="57">
        <v>1.76</v>
      </c>
      <c r="AN113" s="57">
        <v>0.05</v>
      </c>
      <c r="AO113" s="57">
        <v>1.7999999999999999E-2</v>
      </c>
      <c r="AP113" s="57">
        <v>1.52</v>
      </c>
      <c r="AQ113" s="57">
        <v>5.3499999999999999E-2</v>
      </c>
      <c r="AR113" s="57">
        <v>1.9E-2</v>
      </c>
      <c r="BE113" s="57">
        <v>1.0936999999999999</v>
      </c>
      <c r="BF113" s="57">
        <v>0.39600000000000002</v>
      </c>
    </row>
    <row r="114" spans="1:58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  <c r="H114" s="70">
        <v>44631</v>
      </c>
      <c r="I114" s="57">
        <v>1.03</v>
      </c>
      <c r="J114" s="57">
        <v>0.23</v>
      </c>
      <c r="K114" s="57">
        <v>7.5999999999999998E-2</v>
      </c>
      <c r="L114" s="57">
        <v>1.06</v>
      </c>
      <c r="M114" s="57">
        <v>0.25059999999999999</v>
      </c>
      <c r="N114" s="57">
        <v>8.1000000000000003E-2</v>
      </c>
      <c r="AB114" s="57"/>
      <c r="AC114" s="57"/>
      <c r="AD114" s="57"/>
      <c r="AE114" s="57"/>
      <c r="AF114" s="57"/>
      <c r="AG114" s="57">
        <v>1.2097</v>
      </c>
      <c r="AH114" s="57">
        <v>0.39500000000000002</v>
      </c>
      <c r="AJ114" s="57">
        <v>1.38</v>
      </c>
      <c r="AK114" s="57">
        <v>0.27839999999999998</v>
      </c>
      <c r="AL114" s="57">
        <v>0.111</v>
      </c>
      <c r="AM114" s="57">
        <v>1.51</v>
      </c>
      <c r="AN114" s="57">
        <v>0.18890000000000001</v>
      </c>
      <c r="AO114" s="57">
        <v>6.9000000000000006E-2</v>
      </c>
      <c r="AP114" s="57">
        <v>1.51</v>
      </c>
      <c r="AQ114" s="57">
        <v>0.1532</v>
      </c>
      <c r="AR114" s="57">
        <v>5.7000000000000002E-2</v>
      </c>
      <c r="BE114" s="57">
        <v>0.39550000000000002</v>
      </c>
      <c r="BF114" s="57">
        <v>0.152</v>
      </c>
    </row>
    <row r="115" spans="1:58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  <c r="H115" s="70">
        <v>44631</v>
      </c>
      <c r="I115" s="57">
        <v>0.92500000000000004</v>
      </c>
      <c r="J115" s="57">
        <v>0.1323</v>
      </c>
      <c r="K115" s="57">
        <v>4.4999999999999998E-2</v>
      </c>
      <c r="L115" s="57">
        <v>0.97</v>
      </c>
      <c r="M115" s="57">
        <v>0.10249999999999999</v>
      </c>
      <c r="N115" s="57">
        <v>3.4000000000000002E-2</v>
      </c>
      <c r="AB115" s="57"/>
      <c r="AC115" s="57"/>
      <c r="AD115" s="57"/>
      <c r="AE115" s="57"/>
      <c r="AF115" s="57"/>
      <c r="AG115" s="57">
        <v>1.552</v>
      </c>
      <c r="AH115" s="57">
        <v>0.497</v>
      </c>
      <c r="AJ115" s="57">
        <v>1.51</v>
      </c>
      <c r="AK115" s="57">
        <v>0.1172</v>
      </c>
      <c r="AL115" s="57">
        <v>4.5999999999999999E-2</v>
      </c>
      <c r="AM115" s="57">
        <v>1.41</v>
      </c>
      <c r="AN115" s="57">
        <v>0.1535</v>
      </c>
      <c r="AO115" s="57">
        <v>5.6000000000000001E-2</v>
      </c>
      <c r="AP115" s="57">
        <v>1.3</v>
      </c>
      <c r="AQ115" s="57">
        <v>0.1487</v>
      </c>
      <c r="AR115" s="57">
        <v>5.3999999999999999E-2</v>
      </c>
      <c r="BE115" s="57">
        <v>0.42370000000000002</v>
      </c>
      <c r="BF115" s="57">
        <v>0.157</v>
      </c>
    </row>
    <row r="116" spans="1:58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  <c r="H116" s="70">
        <v>44631</v>
      </c>
      <c r="I116" s="57">
        <v>0.91600000000000004</v>
      </c>
      <c r="J116" s="57">
        <v>0.1081</v>
      </c>
      <c r="K116" s="57">
        <v>4.3999999999999997E-2</v>
      </c>
      <c r="L116" s="57">
        <v>0.67100000000000004</v>
      </c>
      <c r="M116" s="57">
        <v>0.10539999999999999</v>
      </c>
      <c r="N116" s="57">
        <v>3.9E-2</v>
      </c>
      <c r="O116" s="57">
        <v>0.85799999999999998</v>
      </c>
      <c r="P116" s="57">
        <v>8.5999999999999993E-2</v>
      </c>
      <c r="Q116" s="57">
        <v>3.4000000000000002E-2</v>
      </c>
      <c r="AB116" s="57"/>
      <c r="AC116" s="57"/>
      <c r="AD116" s="57"/>
      <c r="AE116" s="57"/>
      <c r="AF116" s="57"/>
      <c r="AG116" s="57">
        <v>2.1400999999999999</v>
      </c>
      <c r="AH116" s="57">
        <v>0.82499999999999996</v>
      </c>
      <c r="AJ116" s="57">
        <v>1.8</v>
      </c>
      <c r="AK116" s="57">
        <v>6.3600000000000004E-2</v>
      </c>
      <c r="AL116" s="57">
        <v>2.8000000000000001E-2</v>
      </c>
      <c r="AM116" s="57">
        <v>1.61</v>
      </c>
      <c r="AN116" s="57">
        <v>0.93899999999999995</v>
      </c>
      <c r="AO116" s="57">
        <v>0.04</v>
      </c>
      <c r="AP116" s="57">
        <v>1.9</v>
      </c>
      <c r="AQ116" s="57">
        <v>8.9200000000000002E-2</v>
      </c>
      <c r="AR116" s="57">
        <v>3.7999999999999999E-2</v>
      </c>
      <c r="BE116" s="57">
        <v>0.25430000000000003</v>
      </c>
      <c r="BF116" s="57">
        <v>0.10299999999999999</v>
      </c>
    </row>
    <row r="117" spans="1:58" x14ac:dyDescent="0.2">
      <c r="A117" s="57" t="s">
        <v>134</v>
      </c>
      <c r="B117" s="76" t="s">
        <v>135</v>
      </c>
      <c r="C117" s="57" t="s">
        <v>134</v>
      </c>
      <c r="D117" s="54" t="s">
        <v>137</v>
      </c>
      <c r="E117" s="57" t="s">
        <v>141</v>
      </c>
      <c r="H117" s="70">
        <v>44631</v>
      </c>
      <c r="I117" s="57">
        <v>1.19</v>
      </c>
      <c r="J117" s="57">
        <v>0.26129999999999998</v>
      </c>
      <c r="K117" s="57">
        <v>0.08</v>
      </c>
      <c r="L117" s="57">
        <v>1.17</v>
      </c>
      <c r="M117" s="57">
        <v>0.18909999999999999</v>
      </c>
      <c r="N117" s="57">
        <v>5.1999999999999998E-2</v>
      </c>
      <c r="O117" s="57">
        <v>1.06</v>
      </c>
      <c r="P117" s="57">
        <v>0.30359999999999998</v>
      </c>
      <c r="Q117" s="57">
        <v>9.0999999999999998E-2</v>
      </c>
      <c r="R117" s="57">
        <v>1.61</v>
      </c>
      <c r="S117" s="57">
        <v>0.20669999999999999</v>
      </c>
      <c r="T117" s="57">
        <v>7.0000000000000007E-2</v>
      </c>
      <c r="U117" s="57">
        <v>1.02</v>
      </c>
      <c r="V117" s="57">
        <v>0.16739999999999999</v>
      </c>
      <c r="W117" s="57">
        <v>5.1999999999999998E-2</v>
      </c>
      <c r="X117" s="57">
        <v>1.08</v>
      </c>
      <c r="Y117" s="57">
        <v>0.2707</v>
      </c>
      <c r="Z117" s="57">
        <v>7.9000000000000001E-2</v>
      </c>
      <c r="AA117" s="57">
        <v>1.39</v>
      </c>
      <c r="AB117" s="57">
        <v>0.25559999999999999</v>
      </c>
      <c r="AC117" s="57">
        <v>7.9000000000000001E-2</v>
      </c>
      <c r="AD117" s="57">
        <v>1.24</v>
      </c>
      <c r="AE117" s="57">
        <v>0.26140000000000002</v>
      </c>
      <c r="AF117" s="57">
        <v>8.3000000000000004E-2</v>
      </c>
      <c r="AG117" s="57" t="s">
        <v>60</v>
      </c>
      <c r="AH117" s="57" t="s">
        <v>60</v>
      </c>
      <c r="AJ117" s="57">
        <v>2.4500000000000002</v>
      </c>
      <c r="AK117" s="57">
        <v>0.14699999999999999</v>
      </c>
      <c r="AL117" s="57">
        <v>6.0999999999999999E-2</v>
      </c>
      <c r="AM117" s="57">
        <v>1.97</v>
      </c>
      <c r="AN117" s="57">
        <v>0.1646</v>
      </c>
      <c r="AO117" s="57">
        <v>7.9000000000000001E-2</v>
      </c>
      <c r="AP117" s="57">
        <v>2.02</v>
      </c>
      <c r="AQ117" s="57">
        <v>0.2072</v>
      </c>
      <c r="AR117" s="57">
        <v>8.4000000000000005E-2</v>
      </c>
      <c r="AS117" s="57">
        <v>2.21</v>
      </c>
      <c r="AT117" s="57">
        <v>0.16389999999999999</v>
      </c>
      <c r="AU117" s="57">
        <v>0.08</v>
      </c>
      <c r="AV117" s="57">
        <v>2.0640000000000001</v>
      </c>
      <c r="AW117" s="57">
        <v>0.13700000000000001</v>
      </c>
      <c r="AX117" s="57">
        <v>7.1999999999999995E-2</v>
      </c>
      <c r="AY117" s="57">
        <v>2.14</v>
      </c>
      <c r="AZ117" s="57">
        <v>0.1255</v>
      </c>
      <c r="BA117" s="57">
        <v>6.3E-2</v>
      </c>
      <c r="BB117" s="57">
        <v>2.14</v>
      </c>
      <c r="BC117" s="57">
        <v>0.13730000000000001</v>
      </c>
      <c r="BD117" s="57">
        <v>0.104</v>
      </c>
    </row>
    <row r="118" spans="1:58" x14ac:dyDescent="0.2">
      <c r="A118" s="57" t="s">
        <v>114</v>
      </c>
      <c r="B118" s="76" t="s">
        <v>136</v>
      </c>
      <c r="C118" s="57" t="s">
        <v>114</v>
      </c>
      <c r="D118" s="54" t="s">
        <v>137</v>
      </c>
      <c r="E118" s="57" t="s">
        <v>138</v>
      </c>
      <c r="H118" s="70">
        <v>44628</v>
      </c>
      <c r="I118" s="57"/>
      <c r="J118" s="57"/>
      <c r="L118" s="57"/>
      <c r="M118" s="57"/>
      <c r="O118" s="57"/>
      <c r="P118" s="57"/>
      <c r="R118" s="57"/>
      <c r="S118" s="57"/>
      <c r="U118" s="57"/>
      <c r="V118" s="57"/>
      <c r="X118" s="57"/>
      <c r="Y118" s="57"/>
      <c r="AA118" s="57"/>
      <c r="AB118" s="57"/>
      <c r="AJ118" s="57">
        <v>1.58</v>
      </c>
      <c r="AK118" s="57">
        <v>0.19189999999999999</v>
      </c>
      <c r="AL118" s="57">
        <v>5.8000000000000003E-2</v>
      </c>
      <c r="AM118" s="57">
        <v>1.76</v>
      </c>
      <c r="AN118" s="57">
        <v>0.26419999999999999</v>
      </c>
      <c r="AO118" s="57">
        <v>6.2E-2</v>
      </c>
      <c r="AP118" s="57">
        <v>1.74</v>
      </c>
      <c r="AQ118" s="57">
        <v>0.2412</v>
      </c>
      <c r="AR118" s="57">
        <v>0.08</v>
      </c>
      <c r="AS118" s="57">
        <v>1.7230000000000001</v>
      </c>
      <c r="AT118" s="57">
        <v>0.24479999999999999</v>
      </c>
      <c r="AU118" s="57">
        <v>6.5000000000000002E-2</v>
      </c>
      <c r="AV118" s="57">
        <v>1.95</v>
      </c>
      <c r="AW118" s="57">
        <v>0.21990000000000001</v>
      </c>
      <c r="AX118" s="57">
        <v>5.6000000000000001E-2</v>
      </c>
      <c r="AY118" s="57">
        <v>1.4379999999999999</v>
      </c>
      <c r="AZ118" s="57">
        <v>0.20080000000000001</v>
      </c>
      <c r="BA118" s="57">
        <v>4.3999999999999997E-2</v>
      </c>
      <c r="BB118" s="57">
        <v>1.41</v>
      </c>
      <c r="BC118" s="57">
        <v>0.35370000000000001</v>
      </c>
      <c r="BD118" s="57">
        <v>5.2999999999999999E-2</v>
      </c>
    </row>
    <row r="119" spans="1:58" x14ac:dyDescent="0.2">
      <c r="A119" s="57" t="s">
        <v>114</v>
      </c>
      <c r="B119" s="76" t="s">
        <v>136</v>
      </c>
      <c r="C119" s="57" t="s">
        <v>114</v>
      </c>
      <c r="D119" s="54" t="s">
        <v>142</v>
      </c>
      <c r="E119" s="57" t="s">
        <v>143</v>
      </c>
      <c r="H119" s="70">
        <v>44628</v>
      </c>
      <c r="I119" s="57"/>
      <c r="J119" s="57"/>
      <c r="L119" s="57"/>
      <c r="M119" s="57"/>
      <c r="O119" s="57"/>
      <c r="P119" s="57"/>
      <c r="R119" s="57"/>
      <c r="S119" s="57"/>
      <c r="U119" s="57"/>
      <c r="V119" s="57"/>
      <c r="X119" s="57"/>
      <c r="Y119" s="57"/>
      <c r="AA119" s="57"/>
      <c r="AB119" s="57"/>
      <c r="AJ119" s="57">
        <v>2.1309999999999998</v>
      </c>
      <c r="AK119" s="57">
        <v>0.4783</v>
      </c>
      <c r="AM119" s="57">
        <v>2.4420000000000002</v>
      </c>
      <c r="AN119" s="57">
        <v>0.75360000000000005</v>
      </c>
      <c r="AP119" s="57">
        <v>2.2890000000000001</v>
      </c>
      <c r="AQ119" s="57">
        <v>0.70489999999999997</v>
      </c>
      <c r="AS119" s="57">
        <v>2.4359999999999999</v>
      </c>
      <c r="AT119" s="57">
        <v>0.75929999999999997</v>
      </c>
      <c r="AV119" s="57">
        <v>2.629</v>
      </c>
      <c r="AW119" s="57">
        <v>0.36630000000000001</v>
      </c>
      <c r="AY119" s="57">
        <v>2.1419999999999999</v>
      </c>
      <c r="AZ119" s="57">
        <v>0.56000000000000005</v>
      </c>
      <c r="BB119" s="57">
        <v>2.1379999999999999</v>
      </c>
      <c r="BC119" s="57">
        <v>0.47249999999999998</v>
      </c>
    </row>
    <row r="120" spans="1:58" x14ac:dyDescent="0.2">
      <c r="A120" s="57" t="s">
        <v>139</v>
      </c>
      <c r="B120" s="76" t="s">
        <v>139</v>
      </c>
      <c r="C120" s="57" t="s">
        <v>139</v>
      </c>
      <c r="D120" s="54" t="s">
        <v>142</v>
      </c>
      <c r="E120" s="57" t="s">
        <v>144</v>
      </c>
      <c r="H120" s="70">
        <v>44631</v>
      </c>
      <c r="I120" s="57">
        <v>1.33</v>
      </c>
      <c r="J120" s="57">
        <v>0.95530000000000004</v>
      </c>
      <c r="K120" s="57">
        <v>0.29399999999999998</v>
      </c>
      <c r="L120" s="57">
        <v>1.39</v>
      </c>
      <c r="M120" s="57">
        <v>0.67400000000000004</v>
      </c>
      <c r="N120" s="57">
        <v>0.215</v>
      </c>
      <c r="O120" s="57">
        <v>1.08</v>
      </c>
      <c r="P120" s="57">
        <v>0.88190000000000002</v>
      </c>
      <c r="Q120" s="57">
        <v>0.307</v>
      </c>
      <c r="R120" s="57">
        <v>1.3069999999999999</v>
      </c>
      <c r="S120" s="57">
        <v>0.72350000000000003</v>
      </c>
      <c r="T120" s="57">
        <v>0.25900000000000001</v>
      </c>
      <c r="U120" s="57">
        <v>1.27</v>
      </c>
      <c r="V120" s="57">
        <v>0.92079999999999995</v>
      </c>
      <c r="W120" s="57">
        <v>0.29799999999999999</v>
      </c>
      <c r="X120" s="57">
        <v>1.38</v>
      </c>
      <c r="Y120" s="57">
        <v>1.2830999999999999</v>
      </c>
      <c r="Z120" s="57">
        <v>0.41199999999999998</v>
      </c>
      <c r="AA120" s="57">
        <v>1.4</v>
      </c>
      <c r="AB120" s="57">
        <v>0.70789999999999997</v>
      </c>
      <c r="AC120" s="57">
        <v>0.25</v>
      </c>
      <c r="AG120" s="57" t="s">
        <v>60</v>
      </c>
      <c r="AH120" s="57" t="s">
        <v>60</v>
      </c>
      <c r="AJ120" s="57">
        <v>3.51</v>
      </c>
      <c r="AK120" s="57">
        <v>0.38069999999999998</v>
      </c>
      <c r="AL120" s="57">
        <v>0.151</v>
      </c>
      <c r="AM120" s="57">
        <v>3.01</v>
      </c>
      <c r="AN120" s="57">
        <v>0.4194</v>
      </c>
      <c r="AO120" s="57">
        <v>0.159</v>
      </c>
      <c r="AP120" s="57">
        <v>2.0699999999999998</v>
      </c>
      <c r="AQ120" s="57">
        <v>0.36890000000000001</v>
      </c>
      <c r="AR120" s="57">
        <v>0.127</v>
      </c>
      <c r="AS120" s="57">
        <v>3.117</v>
      </c>
      <c r="AT120" s="57">
        <v>0.30690000000000001</v>
      </c>
      <c r="AU120" s="57">
        <v>0.129</v>
      </c>
      <c r="AV120" s="57">
        <v>2.87</v>
      </c>
      <c r="AW120" s="57">
        <v>0.30349999999999999</v>
      </c>
      <c r="AX120" s="57">
        <v>0.11899999999999999</v>
      </c>
    </row>
    <row r="121" spans="1:58" x14ac:dyDescent="0.2">
      <c r="A121" s="57" t="s">
        <v>134</v>
      </c>
      <c r="B121" s="76" t="s">
        <v>135</v>
      </c>
      <c r="C121" s="57" t="s">
        <v>134</v>
      </c>
      <c r="D121" s="54" t="s">
        <v>142</v>
      </c>
      <c r="E121" s="57" t="s">
        <v>145</v>
      </c>
      <c r="H121" s="70">
        <v>44631</v>
      </c>
      <c r="I121" s="57">
        <v>1.34</v>
      </c>
      <c r="J121" s="57">
        <v>0.79400000000000004</v>
      </c>
      <c r="K121" s="57">
        <v>0.253</v>
      </c>
      <c r="L121" s="57">
        <v>1.68</v>
      </c>
      <c r="M121" s="57">
        <v>0.40679999999999999</v>
      </c>
      <c r="N121" s="57">
        <v>0.151</v>
      </c>
      <c r="O121" s="57">
        <v>1.29</v>
      </c>
      <c r="P121" s="57">
        <v>0.75349999999999995</v>
      </c>
      <c r="Q121" s="57">
        <v>0.22800000000000001</v>
      </c>
      <c r="R121" s="57">
        <v>1.33</v>
      </c>
      <c r="S121" s="57">
        <v>0.63129999999999997</v>
      </c>
      <c r="T121" s="57">
        <v>0.20599999999999999</v>
      </c>
      <c r="U121" s="57">
        <v>1.52</v>
      </c>
      <c r="V121" s="57">
        <v>0.43690000000000001</v>
      </c>
      <c r="W121" s="57">
        <v>0.14099999999999999</v>
      </c>
      <c r="X121" s="57">
        <v>1.49</v>
      </c>
      <c r="Y121" s="57">
        <v>0.40050000000000002</v>
      </c>
      <c r="Z121" s="57">
        <v>0.13100000000000001</v>
      </c>
      <c r="AA121" s="57">
        <v>1.87</v>
      </c>
      <c r="AB121" s="57">
        <v>0.61899999999999999</v>
      </c>
      <c r="AC121" s="57">
        <v>0.24399999999999999</v>
      </c>
      <c r="AD121" s="57">
        <v>1.66</v>
      </c>
      <c r="AE121" s="57">
        <v>0.31490000000000001</v>
      </c>
      <c r="AF121" s="57">
        <v>0.129</v>
      </c>
      <c r="AG121" s="57" t="s">
        <v>60</v>
      </c>
      <c r="AH121" s="57" t="s">
        <v>60</v>
      </c>
      <c r="AJ121" s="57">
        <v>2.12</v>
      </c>
      <c r="AK121" s="57">
        <v>0.73129999999999995</v>
      </c>
      <c r="AL121" s="57">
        <v>0.249</v>
      </c>
      <c r="AM121" s="57">
        <v>2.2999999999999998</v>
      </c>
      <c r="AN121" s="57">
        <v>0.92989999999999995</v>
      </c>
      <c r="AO121" s="57">
        <v>0.34599999999999997</v>
      </c>
      <c r="AP121" s="57">
        <v>2.14</v>
      </c>
      <c r="AQ121" s="57">
        <v>0.78280000000000005</v>
      </c>
      <c r="AR121" s="57">
        <v>0.24299999999999999</v>
      </c>
      <c r="AS121" s="57">
        <v>2.302</v>
      </c>
      <c r="AT121" s="57">
        <v>0.71699999999999997</v>
      </c>
      <c r="AU121" s="57">
        <v>0.251</v>
      </c>
      <c r="AV121" s="57">
        <v>2.52</v>
      </c>
      <c r="AW121" s="57">
        <v>0.74709999999999999</v>
      </c>
      <c r="AX121" s="57">
        <v>0.27700000000000002</v>
      </c>
      <c r="AY121" s="57">
        <v>2.46</v>
      </c>
      <c r="AZ121" s="57">
        <v>0.59089999999999998</v>
      </c>
      <c r="BA121" s="57">
        <v>0.21199999999999999</v>
      </c>
    </row>
    <row r="122" spans="1:58" x14ac:dyDescent="0.2">
      <c r="A122" s="57" t="s">
        <v>127</v>
      </c>
      <c r="B122" s="76" t="s">
        <v>146</v>
      </c>
      <c r="C122" s="57" t="s">
        <v>262</v>
      </c>
      <c r="D122" s="54" t="s">
        <v>58</v>
      </c>
      <c r="E122" s="57">
        <v>2093</v>
      </c>
      <c r="H122" s="70">
        <v>44631</v>
      </c>
      <c r="AJ122" s="57">
        <v>2.6</v>
      </c>
      <c r="AK122" s="57">
        <v>0.46060000000000001</v>
      </c>
      <c r="AL122" s="57">
        <v>0.29299999999999998</v>
      </c>
      <c r="AM122" s="57">
        <v>2.16</v>
      </c>
      <c r="AN122" s="57">
        <v>0.46210000000000001</v>
      </c>
      <c r="AO122" s="57">
        <v>0.29499999999999998</v>
      </c>
      <c r="AP122" s="57">
        <v>2.0099999999999998</v>
      </c>
      <c r="AQ122" s="57">
        <v>0.26040000000000002</v>
      </c>
      <c r="AR122" s="57">
        <v>0.16200000000000001</v>
      </c>
      <c r="AS122" s="57">
        <v>1.7</v>
      </c>
      <c r="AT122" s="57">
        <v>0.2671</v>
      </c>
      <c r="AU122" s="57">
        <v>0.16900000000000001</v>
      </c>
      <c r="AV122" s="57">
        <v>1.85</v>
      </c>
      <c r="AW122" s="57">
        <v>0.43459999999999999</v>
      </c>
      <c r="AX122" s="57">
        <v>0.27</v>
      </c>
    </row>
    <row r="123" spans="1:58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2092</v>
      </c>
      <c r="H123" s="70">
        <v>44631</v>
      </c>
      <c r="AJ123" s="57">
        <v>1.5</v>
      </c>
      <c r="AK123" s="57">
        <v>0.20430000000000001</v>
      </c>
      <c r="AL123" s="57">
        <v>0.125</v>
      </c>
      <c r="AM123" s="57">
        <v>1.52</v>
      </c>
      <c r="AN123" s="57">
        <v>0.19170000000000001</v>
      </c>
      <c r="AO123" s="57">
        <v>0.11799999999999999</v>
      </c>
      <c r="AP123" s="57">
        <v>1.81</v>
      </c>
      <c r="AQ123" s="57">
        <v>0.1643</v>
      </c>
      <c r="AR123" s="57">
        <v>0.10100000000000001</v>
      </c>
      <c r="AS123" s="57">
        <v>1.55</v>
      </c>
      <c r="AT123" s="57">
        <v>0.1988</v>
      </c>
      <c r="AU123" s="57">
        <v>0.123</v>
      </c>
      <c r="AV123" s="57">
        <v>1.85</v>
      </c>
      <c r="AW123" s="57">
        <v>0.2994</v>
      </c>
      <c r="AX123" s="57">
        <v>0.188</v>
      </c>
      <c r="AY123" s="57">
        <v>2.4</v>
      </c>
      <c r="AZ123" s="57">
        <v>0.22040000000000001</v>
      </c>
      <c r="BA123" s="57">
        <v>0.13900000000000001</v>
      </c>
    </row>
    <row r="124" spans="1:58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2091</v>
      </c>
      <c r="H124" s="70">
        <v>44631</v>
      </c>
      <c r="AJ124" s="57">
        <v>1.35</v>
      </c>
      <c r="AK124" s="57">
        <v>0.17199999999999999</v>
      </c>
      <c r="AL124" s="57">
        <v>0.10199999999999999</v>
      </c>
      <c r="AM124" s="57">
        <v>0.85</v>
      </c>
      <c r="AN124" s="57">
        <v>0.1109</v>
      </c>
      <c r="AO124" s="57">
        <v>6.6000000000000003E-2</v>
      </c>
      <c r="AP124" s="57">
        <v>1.1000000000000001</v>
      </c>
      <c r="AQ124" s="57">
        <v>0.24879999999999999</v>
      </c>
      <c r="AR124" s="57">
        <v>0.14899999999999999</v>
      </c>
      <c r="AS124" s="57">
        <v>0.91</v>
      </c>
      <c r="AT124" s="57">
        <v>0.18240000000000001</v>
      </c>
      <c r="AU124" s="57">
        <v>0.108</v>
      </c>
    </row>
    <row r="125" spans="1:58" x14ac:dyDescent="0.2">
      <c r="A125" s="57" t="s">
        <v>127</v>
      </c>
      <c r="B125" s="76" t="s">
        <v>146</v>
      </c>
      <c r="C125" s="57" t="s">
        <v>262</v>
      </c>
      <c r="D125" s="54" t="s">
        <v>64</v>
      </c>
      <c r="E125" s="57">
        <v>2090</v>
      </c>
      <c r="H125" s="70"/>
    </row>
    <row r="126" spans="1:58" x14ac:dyDescent="0.2">
      <c r="A126" s="57" t="s">
        <v>127</v>
      </c>
      <c r="B126" s="76" t="s">
        <v>146</v>
      </c>
      <c r="C126" s="57" t="s">
        <v>262</v>
      </c>
      <c r="D126" s="54" t="s">
        <v>58</v>
      </c>
      <c r="E126" s="57">
        <v>2089</v>
      </c>
      <c r="H126" s="70">
        <v>44631</v>
      </c>
      <c r="AJ126" s="57">
        <v>1.92</v>
      </c>
      <c r="AK126" s="57">
        <v>0.24529999999999999</v>
      </c>
      <c r="AL126" s="57">
        <v>0.14399999999999999</v>
      </c>
      <c r="AM126" s="57">
        <v>3</v>
      </c>
      <c r="AN126" s="57">
        <v>0.22309999999999999</v>
      </c>
      <c r="AO126" s="57">
        <v>0.14099999999999999</v>
      </c>
      <c r="AP126" s="57">
        <v>1.34</v>
      </c>
      <c r="AQ126" s="57">
        <v>0.1338</v>
      </c>
      <c r="AR126" s="57">
        <v>8.1000000000000003E-2</v>
      </c>
      <c r="AS126" s="57">
        <v>1.95</v>
      </c>
      <c r="AT126" s="57">
        <v>0.28110000000000002</v>
      </c>
      <c r="AU126" s="57">
        <v>0.17</v>
      </c>
      <c r="AV126" s="57">
        <v>2.65</v>
      </c>
      <c r="AW126" s="57">
        <v>0.2049</v>
      </c>
      <c r="AX126" s="57">
        <v>0.126</v>
      </c>
      <c r="AY126" s="57">
        <v>1.75</v>
      </c>
      <c r="BA126" s="57">
        <v>0.17799999999999999</v>
      </c>
    </row>
    <row r="127" spans="1:58" x14ac:dyDescent="0.2">
      <c r="A127" s="57" t="s">
        <v>127</v>
      </c>
      <c r="B127" s="76" t="s">
        <v>146</v>
      </c>
      <c r="C127" s="57" t="s">
        <v>262</v>
      </c>
      <c r="D127" s="54" t="s">
        <v>64</v>
      </c>
      <c r="E127" s="57">
        <v>2088</v>
      </c>
      <c r="H127" s="70">
        <v>44631</v>
      </c>
    </row>
    <row r="128" spans="1:58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2087</v>
      </c>
      <c r="H128" s="70">
        <v>44631</v>
      </c>
    </row>
    <row r="129" spans="1:58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2086</v>
      </c>
      <c r="H129" s="70">
        <v>44631</v>
      </c>
    </row>
    <row r="130" spans="1:58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2085</v>
      </c>
      <c r="H130" s="70">
        <v>44631</v>
      </c>
    </row>
    <row r="131" spans="1:58" x14ac:dyDescent="0.2">
      <c r="A131" s="57" t="s">
        <v>139</v>
      </c>
      <c r="B131" s="76" t="s">
        <v>139</v>
      </c>
      <c r="C131" s="57" t="s">
        <v>139</v>
      </c>
      <c r="D131" s="54" t="s">
        <v>64</v>
      </c>
      <c r="E131" s="57">
        <v>2020</v>
      </c>
      <c r="H131" s="70">
        <v>44631</v>
      </c>
      <c r="AJ131" s="57">
        <v>2.2000000000000002</v>
      </c>
      <c r="AK131" s="57">
        <v>6.6199999999999995E-2</v>
      </c>
      <c r="AL131" s="57">
        <v>4.2000000000000003E-2</v>
      </c>
      <c r="AM131" s="57">
        <v>2.02</v>
      </c>
      <c r="AN131" s="57">
        <v>9.6500000000000002E-2</v>
      </c>
      <c r="AO131" s="57">
        <v>0.04</v>
      </c>
      <c r="AP131" s="57">
        <v>2.2999999999999998</v>
      </c>
      <c r="AQ131" s="57">
        <v>0.17519999999999999</v>
      </c>
      <c r="AR131" s="57">
        <v>8.4000000000000005E-2</v>
      </c>
      <c r="BE131" s="57">
        <v>0.4108</v>
      </c>
      <c r="BF131" s="57">
        <v>0.184</v>
      </c>
    </row>
    <row r="132" spans="1:58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2021</v>
      </c>
      <c r="H132" s="70">
        <v>44631</v>
      </c>
      <c r="AJ132" s="57">
        <v>1.91</v>
      </c>
      <c r="AK132" s="57">
        <v>5.1200000000000002E-2</v>
      </c>
      <c r="AL132" s="57">
        <v>2.1999999999999999E-2</v>
      </c>
      <c r="AM132" s="57">
        <v>1.81</v>
      </c>
      <c r="AN132" s="57">
        <v>8.2699999999999996E-2</v>
      </c>
      <c r="AO132" s="57">
        <v>0.04</v>
      </c>
      <c r="AP132" s="57">
        <v>1.9</v>
      </c>
      <c r="AQ132" s="57">
        <v>7.9100000000000004E-2</v>
      </c>
      <c r="AR132" s="57">
        <v>3.7999999999999999E-2</v>
      </c>
      <c r="BE132" s="57">
        <v>0.15190000000000001</v>
      </c>
      <c r="BF132" s="57">
        <v>7.2999999999999995E-2</v>
      </c>
    </row>
    <row r="133" spans="1:58" x14ac:dyDescent="0.2">
      <c r="A133" s="57" t="s">
        <v>139</v>
      </c>
      <c r="B133" s="76" t="s">
        <v>139</v>
      </c>
      <c r="C133" s="57" t="s">
        <v>139</v>
      </c>
      <c r="D133" s="54" t="s">
        <v>58</v>
      </c>
      <c r="E133" s="57">
        <v>2022</v>
      </c>
      <c r="H133" s="70">
        <v>44631</v>
      </c>
      <c r="AJ133" s="57">
        <v>2.0499999999999998</v>
      </c>
      <c r="AK133" s="57">
        <v>0.51</v>
      </c>
      <c r="AL133" s="57">
        <v>0.28399999999999997</v>
      </c>
      <c r="AM133" s="57">
        <v>1.85</v>
      </c>
      <c r="AN133" s="57">
        <v>0.35160000000000002</v>
      </c>
      <c r="AO133" s="57">
        <v>0.14899999999999999</v>
      </c>
      <c r="AP133" s="57">
        <v>1.95</v>
      </c>
      <c r="AQ133" s="57">
        <v>0.30430000000000001</v>
      </c>
      <c r="AR133" s="57">
        <v>0.24</v>
      </c>
      <c r="AS133" s="57">
        <v>2.1</v>
      </c>
      <c r="AT133" s="57">
        <v>0.48180000000000001</v>
      </c>
      <c r="AU133" s="57">
        <v>0.16200000000000001</v>
      </c>
      <c r="AV133" s="57">
        <v>2.1</v>
      </c>
      <c r="AW133" s="57">
        <v>0.26429999999999998</v>
      </c>
      <c r="AX133" s="57">
        <v>0.17199999999999999</v>
      </c>
      <c r="BE133" s="57">
        <v>1.9981</v>
      </c>
      <c r="BF133" s="57">
        <v>0.92600000000000005</v>
      </c>
    </row>
    <row r="134" spans="1:58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2023</v>
      </c>
      <c r="H134" s="70">
        <v>44631</v>
      </c>
      <c r="AJ134" s="57">
        <v>1.43</v>
      </c>
      <c r="AK134" s="57">
        <v>0.28129999999999999</v>
      </c>
      <c r="AL134" s="57">
        <v>0.13300000000000001</v>
      </c>
      <c r="AM134" s="57">
        <v>1.55</v>
      </c>
      <c r="AN134" s="57">
        <v>0.2097</v>
      </c>
      <c r="AO134" s="57">
        <v>9.7000000000000003E-2</v>
      </c>
      <c r="AP134" s="57">
        <v>1.75</v>
      </c>
      <c r="AQ134" s="57">
        <v>0.20380000000000001</v>
      </c>
      <c r="AR134" s="57">
        <v>8.8999999999999996E-2</v>
      </c>
      <c r="AS134" s="57">
        <v>1.85</v>
      </c>
      <c r="AT134" s="57">
        <v>0.32840000000000003</v>
      </c>
      <c r="AV134" s="57">
        <v>1.7</v>
      </c>
      <c r="AW134" s="57">
        <v>0.35389999999999999</v>
      </c>
      <c r="BE134" s="33">
        <f>0.9686+0.827</f>
        <v>1.7955999999999999</v>
      </c>
      <c r="BF134" s="57">
        <v>0.45300000000000001</v>
      </c>
    </row>
    <row r="135" spans="1:58" x14ac:dyDescent="0.2">
      <c r="A135" s="57" t="s">
        <v>139</v>
      </c>
      <c r="B135" s="76" t="s">
        <v>139</v>
      </c>
      <c r="C135" s="57" t="s">
        <v>139</v>
      </c>
      <c r="D135" s="54" t="s">
        <v>64</v>
      </c>
      <c r="E135" s="57">
        <v>2024</v>
      </c>
      <c r="H135" s="70">
        <v>44631</v>
      </c>
      <c r="AJ135" s="57">
        <v>1.65</v>
      </c>
      <c r="AK135" s="57">
        <v>0.1186</v>
      </c>
      <c r="AL135" s="57">
        <v>4.4999999999999998E-2</v>
      </c>
      <c r="AM135" s="57">
        <v>1.72</v>
      </c>
      <c r="AN135" s="57">
        <v>0.1225</v>
      </c>
      <c r="AO135" s="57">
        <v>4.8000000000000001E-2</v>
      </c>
      <c r="BE135" s="57">
        <v>0.55259999999999998</v>
      </c>
      <c r="BF135" s="57">
        <v>0.21</v>
      </c>
    </row>
    <row r="136" spans="1:58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2025</v>
      </c>
      <c r="H136" s="70">
        <v>44631</v>
      </c>
      <c r="AJ136" s="57">
        <v>2.0699999999999998</v>
      </c>
      <c r="AK136" s="57">
        <v>0.14149999999999999</v>
      </c>
      <c r="AL136" s="57">
        <v>6.7000000000000004E-2</v>
      </c>
      <c r="AM136" s="57">
        <v>1.71</v>
      </c>
      <c r="AN136" s="57">
        <v>0.1603</v>
      </c>
      <c r="AO136" s="57">
        <v>7.3999999999999996E-2</v>
      </c>
      <c r="AP136" s="57">
        <v>1.64</v>
      </c>
      <c r="AQ136" s="57">
        <v>8.9099999999999999E-2</v>
      </c>
      <c r="AR136" s="57">
        <v>4.2000000000000003E-2</v>
      </c>
      <c r="AS136" s="57">
        <v>1.79</v>
      </c>
      <c r="AT136" s="57">
        <v>0.1065</v>
      </c>
      <c r="AU136" s="57">
        <v>5.1999999999999998E-2</v>
      </c>
      <c r="BE136" s="57">
        <v>0.2059</v>
      </c>
      <c r="BF136" s="57">
        <v>5.2999999999999999E-2</v>
      </c>
    </row>
    <row r="137" spans="1:58" x14ac:dyDescent="0.2">
      <c r="A137" s="57" t="s">
        <v>139</v>
      </c>
      <c r="B137" s="76" t="s">
        <v>147</v>
      </c>
      <c r="C137" s="57" t="s">
        <v>263</v>
      </c>
      <c r="D137" s="54" t="s">
        <v>64</v>
      </c>
      <c r="E137" s="57">
        <v>2026</v>
      </c>
      <c r="H137" s="70">
        <v>44631</v>
      </c>
      <c r="AJ137" s="57">
        <v>1.96</v>
      </c>
      <c r="AK137" s="57">
        <v>0.14430000000000001</v>
      </c>
      <c r="AL137" s="57">
        <v>6.7000000000000004E-2</v>
      </c>
      <c r="AM137" s="57">
        <v>1.93</v>
      </c>
      <c r="AN137" s="57">
        <v>8.6400000000000005E-2</v>
      </c>
      <c r="AO137" s="57">
        <v>3.6999999999999998E-2</v>
      </c>
      <c r="BE137" s="57">
        <v>0.2601</v>
      </c>
      <c r="BF137" s="57">
        <v>0.11700000000000001</v>
      </c>
    </row>
    <row r="138" spans="1:58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2027</v>
      </c>
      <c r="H138" s="70">
        <v>44631</v>
      </c>
      <c r="AL138" s="57">
        <v>4.2000000000000003E-2</v>
      </c>
      <c r="AO138" s="57">
        <v>0.111</v>
      </c>
      <c r="AR138" s="57">
        <v>5.7000000000000002E-2</v>
      </c>
      <c r="BF138" s="57">
        <v>0.23400000000000001</v>
      </c>
    </row>
    <row r="139" spans="1:58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2028</v>
      </c>
    </row>
    <row r="140" spans="1:58" x14ac:dyDescent="0.2">
      <c r="A140" s="57" t="s">
        <v>139</v>
      </c>
      <c r="B140" s="76" t="s">
        <v>147</v>
      </c>
      <c r="C140" s="57" t="s">
        <v>263</v>
      </c>
      <c r="D140" s="54" t="s">
        <v>58</v>
      </c>
      <c r="E140" s="57">
        <v>2029</v>
      </c>
    </row>
    <row r="141" spans="1:58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2030</v>
      </c>
    </row>
    <row r="142" spans="1:58" x14ac:dyDescent="0.2">
      <c r="A142" s="57" t="s">
        <v>139</v>
      </c>
      <c r="B142" s="76" t="s">
        <v>147</v>
      </c>
      <c r="C142" s="57" t="s">
        <v>263</v>
      </c>
      <c r="D142" s="54" t="s">
        <v>64</v>
      </c>
      <c r="E142" s="57">
        <v>2031</v>
      </c>
    </row>
    <row r="143" spans="1:58" x14ac:dyDescent="0.2">
      <c r="A143" s="57" t="s">
        <v>134</v>
      </c>
      <c r="B143" s="76" t="s">
        <v>146</v>
      </c>
      <c r="C143" s="57" t="s">
        <v>264</v>
      </c>
      <c r="D143" s="54" t="s">
        <v>64</v>
      </c>
      <c r="E143" s="57">
        <v>2012</v>
      </c>
    </row>
    <row r="144" spans="1:58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2013</v>
      </c>
    </row>
    <row r="145" spans="1:5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2014</v>
      </c>
    </row>
    <row r="146" spans="1:5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2015</v>
      </c>
    </row>
    <row r="147" spans="1:5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1478</v>
      </c>
    </row>
    <row r="149" spans="1:5" x14ac:dyDescent="0.2">
      <c r="D149" s="3"/>
    </row>
    <row r="150" spans="1:5" x14ac:dyDescent="0.2">
      <c r="D150" s="3"/>
    </row>
    <row r="151" spans="1:5" x14ac:dyDescent="0.2">
      <c r="D151" s="3"/>
    </row>
    <row r="152" spans="1:5" x14ac:dyDescent="0.2">
      <c r="D152" s="3"/>
    </row>
    <row r="154" spans="1:5" x14ac:dyDescent="0.2">
      <c r="D154" s="3"/>
    </row>
    <row r="155" spans="1:5" x14ac:dyDescent="0.2">
      <c r="D155" s="3"/>
    </row>
    <row r="156" spans="1:5" x14ac:dyDescent="0.2">
      <c r="D156" s="3"/>
    </row>
    <row r="157" spans="1:5" x14ac:dyDescent="0.2">
      <c r="D157" s="3"/>
    </row>
    <row r="158" spans="1:5" x14ac:dyDescent="0.2">
      <c r="D158" s="3"/>
    </row>
    <row r="159" spans="1:5" x14ac:dyDescent="0.2">
      <c r="D159" s="3"/>
    </row>
    <row r="160" spans="1:5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308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0" x14ac:dyDescent="0.2">
      <c r="C1" s="74" t="s">
        <v>207</v>
      </c>
      <c r="D1" s="1"/>
      <c r="E1" s="1"/>
    </row>
    <row r="3" spans="1:60" x14ac:dyDescent="0.2">
      <c r="C3" s="12" t="s">
        <v>1</v>
      </c>
      <c r="D3" s="38" t="s">
        <v>208</v>
      </c>
      <c r="E3" s="12"/>
    </row>
    <row r="4" spans="1:60" x14ac:dyDescent="0.2">
      <c r="C4" s="12" t="s">
        <v>3</v>
      </c>
      <c r="D4" s="77">
        <v>44635</v>
      </c>
    </row>
    <row r="6" spans="1:60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</row>
    <row r="7" spans="1:60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AI7" s="33" t="e">
        <f t="shared" ref="AI7:AI136" si="0">AVERAGE(AD7,AA7,X7,U7,R7,O7,L7,I7)</f>
        <v>#DIV/0!</v>
      </c>
      <c r="BG7" s="33" t="e">
        <f t="shared" ref="BG7:BG136" si="1">AVERAGE(BB7,AY7,AV7,AS7,AP7,AM7,AJ7)</f>
        <v>#DIV/0!</v>
      </c>
    </row>
    <row r="8" spans="1:60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  <c r="AI8" s="33" t="e">
        <f t="shared" si="0"/>
        <v>#DIV/0!</v>
      </c>
      <c r="BG8" s="33" t="e">
        <f t="shared" si="1"/>
        <v>#DIV/0!</v>
      </c>
    </row>
    <row r="9" spans="1:60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AI9" s="33" t="e">
        <f t="shared" si="0"/>
        <v>#DIV/0!</v>
      </c>
      <c r="BG9" s="33" t="e">
        <f t="shared" si="1"/>
        <v>#DIV/0!</v>
      </c>
    </row>
    <row r="10" spans="1:60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  <c r="AI10" s="33" t="e">
        <f t="shared" si="0"/>
        <v>#DIV/0!</v>
      </c>
      <c r="BG10" s="33" t="e">
        <f t="shared" si="1"/>
        <v>#DIV/0!</v>
      </c>
    </row>
    <row r="11" spans="1:60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AI11" s="33" t="e">
        <f t="shared" si="0"/>
        <v>#DIV/0!</v>
      </c>
      <c r="BG11" s="33" t="e">
        <f t="shared" si="1"/>
        <v>#DIV/0!</v>
      </c>
    </row>
    <row r="12" spans="1:60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  <c r="AI12" s="33" t="e">
        <f t="shared" si="0"/>
        <v>#DIV/0!</v>
      </c>
      <c r="BG12" s="33" t="e">
        <f t="shared" si="1"/>
        <v>#DIV/0!</v>
      </c>
    </row>
    <row r="13" spans="1:60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  <c r="AI13" s="33" t="e">
        <f t="shared" si="0"/>
        <v>#DIV/0!</v>
      </c>
      <c r="BG13" s="33" t="e">
        <f t="shared" si="1"/>
        <v>#DIV/0!</v>
      </c>
    </row>
    <row r="14" spans="1:60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AI14" s="33" t="e">
        <f t="shared" si="0"/>
        <v>#DIV/0!</v>
      </c>
      <c r="BG14" s="33" t="e">
        <f t="shared" si="1"/>
        <v>#DIV/0!</v>
      </c>
    </row>
    <row r="15" spans="1:60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  <c r="AI15" s="33" t="e">
        <f t="shared" si="0"/>
        <v>#DIV/0!</v>
      </c>
      <c r="BG15" s="33" t="e">
        <f t="shared" si="1"/>
        <v>#DIV/0!</v>
      </c>
    </row>
    <row r="16" spans="1:60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  <c r="AI16" s="33" t="e">
        <f t="shared" si="0"/>
        <v>#DIV/0!</v>
      </c>
      <c r="BG16" s="33" t="e">
        <f t="shared" si="1"/>
        <v>#DIV/0!</v>
      </c>
    </row>
    <row r="17" spans="1:59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AI17" s="33" t="e">
        <f t="shared" si="0"/>
        <v>#DIV/0!</v>
      </c>
      <c r="BG17" s="33" t="e">
        <f t="shared" si="1"/>
        <v>#DIV/0!</v>
      </c>
    </row>
    <row r="18" spans="1:59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AI18" s="33" t="e">
        <f t="shared" si="0"/>
        <v>#DIV/0!</v>
      </c>
      <c r="BG18" s="33" t="e">
        <f t="shared" si="1"/>
        <v>#DIV/0!</v>
      </c>
    </row>
    <row r="19" spans="1:59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  <c r="I19" s="57">
        <v>1.37</v>
      </c>
      <c r="J19" s="57" t="s">
        <v>60</v>
      </c>
      <c r="L19" s="57">
        <v>1.87</v>
      </c>
      <c r="M19" s="57" t="s">
        <v>60</v>
      </c>
      <c r="O19" s="57">
        <v>1.6</v>
      </c>
      <c r="P19" s="57" t="s">
        <v>60</v>
      </c>
      <c r="AI19" s="33">
        <f t="shared" si="0"/>
        <v>1.6133333333333333</v>
      </c>
      <c r="BG19" s="33" t="e">
        <f t="shared" si="1"/>
        <v>#DIV/0!</v>
      </c>
    </row>
    <row r="20" spans="1:59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AI20" s="33" t="e">
        <f t="shared" si="0"/>
        <v>#DIV/0!</v>
      </c>
      <c r="BG20" s="33" t="e">
        <f t="shared" si="1"/>
        <v>#DIV/0!</v>
      </c>
    </row>
    <row r="21" spans="1:59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  <c r="AI21" s="33" t="e">
        <f t="shared" si="0"/>
        <v>#DIV/0!</v>
      </c>
      <c r="BG21" s="33" t="e">
        <f t="shared" si="1"/>
        <v>#DIV/0!</v>
      </c>
    </row>
    <row r="22" spans="1:59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  <c r="AI22" s="33" t="e">
        <f t="shared" si="0"/>
        <v>#DIV/0!</v>
      </c>
      <c r="BG22" s="33" t="e">
        <f t="shared" si="1"/>
        <v>#DIV/0!</v>
      </c>
    </row>
    <row r="23" spans="1:59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  <c r="AI23" s="33" t="e">
        <f t="shared" si="0"/>
        <v>#DIV/0!</v>
      </c>
      <c r="BG23" s="33" t="e">
        <f t="shared" si="1"/>
        <v>#DIV/0!</v>
      </c>
    </row>
    <row r="24" spans="1:59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F24" s="57">
        <v>0</v>
      </c>
      <c r="G24" s="57">
        <v>2</v>
      </c>
      <c r="I24" s="57">
        <v>1.54</v>
      </c>
      <c r="J24" s="57">
        <v>0.08</v>
      </c>
      <c r="K24" s="57">
        <v>3.2000000000000001E-2</v>
      </c>
      <c r="L24" s="33">
        <f>AVERAGE(1.68,0.82)</f>
        <v>1.25</v>
      </c>
      <c r="M24" s="57">
        <v>7.2099999999999997E-2</v>
      </c>
      <c r="N24" s="57">
        <v>2.9000000000000001E-2</v>
      </c>
      <c r="O24" s="57">
        <v>0.47499999999999998</v>
      </c>
      <c r="P24" s="57">
        <v>5.8900000000000001E-2</v>
      </c>
      <c r="Q24" s="57">
        <v>2.4E-2</v>
      </c>
      <c r="R24" s="57">
        <v>1.85</v>
      </c>
      <c r="S24" s="57">
        <v>0.03</v>
      </c>
      <c r="T24" s="57">
        <v>1.2E-2</v>
      </c>
      <c r="U24" s="57">
        <v>1.05</v>
      </c>
      <c r="V24" s="57" t="s">
        <v>60</v>
      </c>
      <c r="W24" s="57" t="s">
        <v>60</v>
      </c>
      <c r="AG24" s="57">
        <v>0.182</v>
      </c>
      <c r="AH24" s="57">
        <v>7.3999999999999996E-2</v>
      </c>
      <c r="AI24" s="33">
        <f t="shared" si="0"/>
        <v>1.2330000000000001</v>
      </c>
      <c r="AJ24" s="57">
        <v>1.89</v>
      </c>
      <c r="AK24" s="57">
        <v>0.1353</v>
      </c>
      <c r="AL24" s="57">
        <v>0.06</v>
      </c>
      <c r="AM24" s="57">
        <v>2.0339999999999998</v>
      </c>
      <c r="AN24" s="57">
        <v>0.1318</v>
      </c>
      <c r="AO24" s="57">
        <v>5.3999999999999999E-2</v>
      </c>
      <c r="AP24" s="57">
        <v>2.3180000000000001</v>
      </c>
      <c r="AQ24" s="57">
        <v>0.11840000000000001</v>
      </c>
      <c r="AR24" s="57">
        <v>4.9000000000000002E-2</v>
      </c>
      <c r="AS24" s="57">
        <v>2.948</v>
      </c>
      <c r="AT24" s="57">
        <v>9.1200000000000003E-2</v>
      </c>
      <c r="AU24" s="57">
        <v>3.7999999999999999E-2</v>
      </c>
      <c r="AV24" s="57">
        <v>2.1469999999999998</v>
      </c>
      <c r="AW24" s="57">
        <v>0.28720000000000001</v>
      </c>
      <c r="AX24" s="57">
        <v>0.16</v>
      </c>
      <c r="BE24" s="57">
        <v>0.27350000000000002</v>
      </c>
      <c r="BF24" s="57">
        <v>0.111</v>
      </c>
      <c r="BG24" s="33">
        <f t="shared" si="1"/>
        <v>2.2673999999999999</v>
      </c>
    </row>
    <row r="25" spans="1:59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  <c r="F25" s="57">
        <v>0</v>
      </c>
      <c r="G25" s="57">
        <v>2</v>
      </c>
      <c r="AI25" s="33" t="e">
        <f t="shared" si="0"/>
        <v>#DIV/0!</v>
      </c>
      <c r="BG25" s="33" t="e">
        <f t="shared" si="1"/>
        <v>#DIV/0!</v>
      </c>
    </row>
    <row r="26" spans="1:59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AI26" s="33" t="e">
        <f t="shared" si="0"/>
        <v>#DIV/0!</v>
      </c>
      <c r="BG26" s="33" t="e">
        <f t="shared" si="1"/>
        <v>#DIV/0!</v>
      </c>
    </row>
    <row r="27" spans="1:59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F27" s="57">
        <v>0</v>
      </c>
      <c r="G27" s="57">
        <v>2</v>
      </c>
      <c r="AI27" s="33" t="e">
        <f t="shared" si="0"/>
        <v>#DIV/0!</v>
      </c>
      <c r="AJ27" s="57">
        <v>1.6</v>
      </c>
      <c r="AK27" s="57">
        <v>7.6999999999999999E-2</v>
      </c>
      <c r="AL27" s="57">
        <v>3.1E-2</v>
      </c>
      <c r="AM27" s="33">
        <f>AVERAGE(3.076,2.66)</f>
        <v>2.8680000000000003</v>
      </c>
      <c r="AN27" s="57">
        <v>0.1065</v>
      </c>
      <c r="AO27" s="57">
        <v>3.9E-2</v>
      </c>
      <c r="AP27" s="57">
        <v>3.32</v>
      </c>
      <c r="AQ27" s="57">
        <v>8.2100000000000006E-2</v>
      </c>
      <c r="AR27" s="57">
        <v>3.3000000000000002E-2</v>
      </c>
      <c r="AS27" s="57">
        <v>2.29</v>
      </c>
      <c r="AT27" s="57">
        <v>6.5299999999999997E-2</v>
      </c>
      <c r="AU27" s="57">
        <v>2.5999999999999999E-2</v>
      </c>
      <c r="BE27" s="33">
        <f>0.1176+0.0549</f>
        <v>0.17249999999999999</v>
      </c>
      <c r="BF27" s="57">
        <v>7.0000000000000007E-2</v>
      </c>
      <c r="BG27" s="33">
        <f t="shared" si="1"/>
        <v>2.5194999999999999</v>
      </c>
    </row>
    <row r="28" spans="1:59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AI28" s="33" t="e">
        <f t="shared" si="0"/>
        <v>#DIV/0!</v>
      </c>
      <c r="BG28" s="33" t="e">
        <f t="shared" si="1"/>
        <v>#DIV/0!</v>
      </c>
    </row>
    <row r="29" spans="1:59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AI29" s="33" t="e">
        <f t="shared" si="0"/>
        <v>#DIV/0!</v>
      </c>
      <c r="BG29" s="33" t="e">
        <f t="shared" si="1"/>
        <v>#DIV/0!</v>
      </c>
    </row>
    <row r="30" spans="1:59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F30" s="57">
        <v>1</v>
      </c>
      <c r="G30" s="57">
        <v>3</v>
      </c>
      <c r="I30" s="57">
        <v>1.514</v>
      </c>
      <c r="J30" s="57">
        <v>3.9800000000000002E-2</v>
      </c>
      <c r="K30" s="57">
        <v>1.6E-2</v>
      </c>
      <c r="L30" s="57">
        <v>0.89100000000000001</v>
      </c>
      <c r="M30" s="57">
        <v>2.0199999999999999E-2</v>
      </c>
      <c r="N30" s="57">
        <v>8.9999999999999993E-3</v>
      </c>
      <c r="O30" s="57">
        <v>1.53</v>
      </c>
      <c r="P30" s="57">
        <v>2.46E-2</v>
      </c>
      <c r="Q30" s="57">
        <v>1.0999999999999999E-2</v>
      </c>
      <c r="AG30" s="57">
        <v>0.1071</v>
      </c>
      <c r="AH30" s="57">
        <v>4.3999999999999997E-2</v>
      </c>
      <c r="AI30" s="33">
        <f t="shared" si="0"/>
        <v>1.3116666666666668</v>
      </c>
      <c r="AJ30" s="57">
        <v>2.41</v>
      </c>
      <c r="AK30" s="57">
        <v>6.5299999999999997E-2</v>
      </c>
      <c r="AL30" s="57">
        <v>3.7999999999999999E-2</v>
      </c>
      <c r="AM30" s="57">
        <v>3.31</v>
      </c>
      <c r="AN30" s="57">
        <v>0.1908</v>
      </c>
      <c r="AO30" s="57">
        <v>8.6999999999999994E-2</v>
      </c>
      <c r="AP30" s="57">
        <v>2.75</v>
      </c>
      <c r="AQ30" s="57">
        <v>6.25E-2</v>
      </c>
      <c r="AR30" s="57">
        <v>2.7E-2</v>
      </c>
      <c r="AS30" s="57">
        <v>2.0299999999999998</v>
      </c>
      <c r="AT30" s="57">
        <v>9.7199999999999995E-2</v>
      </c>
      <c r="AU30" s="57">
        <v>0.04</v>
      </c>
      <c r="AV30" s="57">
        <v>1.76</v>
      </c>
      <c r="AW30" s="57">
        <v>0.10539999999999999</v>
      </c>
      <c r="AX30" s="57">
        <v>4.3999999999999997E-2</v>
      </c>
      <c r="BE30" s="57">
        <v>0.21879999999999999</v>
      </c>
      <c r="BF30" s="57">
        <v>8.7999999999999995E-2</v>
      </c>
      <c r="BG30" s="33">
        <f t="shared" si="1"/>
        <v>2.452</v>
      </c>
    </row>
    <row r="31" spans="1:59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AI31" s="33" t="e">
        <f t="shared" si="0"/>
        <v>#DIV/0!</v>
      </c>
      <c r="BG31" s="33" t="e">
        <f t="shared" si="1"/>
        <v>#DIV/0!</v>
      </c>
    </row>
    <row r="32" spans="1:59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AI32" s="33" t="e">
        <f t="shared" si="0"/>
        <v>#DIV/0!</v>
      </c>
      <c r="BG32" s="33" t="e">
        <f t="shared" si="1"/>
        <v>#DIV/0!</v>
      </c>
    </row>
    <row r="33" spans="1:59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F33" s="57">
        <v>0</v>
      </c>
      <c r="G33" s="57">
        <v>7</v>
      </c>
      <c r="AI33" s="33" t="e">
        <f t="shared" si="0"/>
        <v>#DIV/0!</v>
      </c>
      <c r="BG33" s="33" t="e">
        <f t="shared" si="1"/>
        <v>#DIV/0!</v>
      </c>
    </row>
    <row r="34" spans="1:59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F34" s="57">
        <v>0</v>
      </c>
      <c r="G34" s="57">
        <v>7</v>
      </c>
      <c r="AI34" s="33" t="e">
        <f t="shared" si="0"/>
        <v>#DIV/0!</v>
      </c>
      <c r="BG34" s="33" t="e">
        <f t="shared" si="1"/>
        <v>#DIV/0!</v>
      </c>
    </row>
    <row r="35" spans="1:59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AI35" s="33" t="e">
        <f t="shared" si="0"/>
        <v>#DIV/0!</v>
      </c>
      <c r="BG35" s="33" t="e">
        <f t="shared" si="1"/>
        <v>#DIV/0!</v>
      </c>
    </row>
    <row r="36" spans="1:59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  <c r="AI36" s="33" t="e">
        <f t="shared" si="0"/>
        <v>#DIV/0!</v>
      </c>
      <c r="BG36" s="33" t="e">
        <f t="shared" si="1"/>
        <v>#DIV/0!</v>
      </c>
    </row>
    <row r="37" spans="1:59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  <c r="AI37" s="33" t="e">
        <f t="shared" si="0"/>
        <v>#DIV/0!</v>
      </c>
      <c r="BG37" s="33" t="e">
        <f t="shared" si="1"/>
        <v>#DIV/0!</v>
      </c>
    </row>
    <row r="38" spans="1:59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  <c r="AI38" s="33" t="e">
        <f t="shared" si="0"/>
        <v>#DIV/0!</v>
      </c>
      <c r="BG38" s="33" t="e">
        <f t="shared" si="1"/>
        <v>#DIV/0!</v>
      </c>
    </row>
    <row r="39" spans="1:59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  <c r="AI39" s="33" t="e">
        <f t="shared" si="0"/>
        <v>#DIV/0!</v>
      </c>
      <c r="BG39" s="33" t="e">
        <f t="shared" si="1"/>
        <v>#DIV/0!</v>
      </c>
    </row>
    <row r="40" spans="1:59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  <c r="AI40" s="33" t="e">
        <f t="shared" si="0"/>
        <v>#DIV/0!</v>
      </c>
      <c r="BG40" s="33" t="e">
        <f t="shared" si="1"/>
        <v>#DIV/0!</v>
      </c>
    </row>
    <row r="41" spans="1:59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  <c r="H41" s="57" t="s">
        <v>281</v>
      </c>
      <c r="AI41" s="33" t="e">
        <f t="shared" si="0"/>
        <v>#DIV/0!</v>
      </c>
      <c r="BG41" s="33" t="e">
        <f t="shared" si="1"/>
        <v>#DIV/0!</v>
      </c>
    </row>
    <row r="42" spans="1:59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F42" s="57">
        <v>0</v>
      </c>
      <c r="G42" s="57">
        <v>3</v>
      </c>
      <c r="AI42" s="33" t="e">
        <f t="shared" si="0"/>
        <v>#DIV/0!</v>
      </c>
      <c r="BG42" s="33" t="e">
        <f t="shared" si="1"/>
        <v>#DIV/0!</v>
      </c>
    </row>
    <row r="43" spans="1:59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AI43" s="33" t="e">
        <f t="shared" si="0"/>
        <v>#DIV/0!</v>
      </c>
      <c r="BG43" s="33" t="e">
        <f t="shared" si="1"/>
        <v>#DIV/0!</v>
      </c>
    </row>
    <row r="44" spans="1:59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  <c r="AI44" s="33" t="e">
        <f t="shared" si="0"/>
        <v>#DIV/0!</v>
      </c>
      <c r="BG44" s="33" t="e">
        <f t="shared" si="1"/>
        <v>#DIV/0!</v>
      </c>
    </row>
    <row r="45" spans="1:59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AI45" s="33" t="e">
        <f t="shared" si="0"/>
        <v>#DIV/0!</v>
      </c>
      <c r="BG45" s="33" t="e">
        <f t="shared" si="1"/>
        <v>#DIV/0!</v>
      </c>
    </row>
    <row r="46" spans="1:59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AI46" s="33" t="e">
        <f t="shared" si="0"/>
        <v>#DIV/0!</v>
      </c>
      <c r="BG46" s="33" t="e">
        <f t="shared" si="1"/>
        <v>#DIV/0!</v>
      </c>
    </row>
    <row r="47" spans="1:59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I47" s="57">
        <v>0.89</v>
      </c>
      <c r="J47" s="57">
        <v>0.1108</v>
      </c>
      <c r="K47" s="57">
        <v>6.5000000000000002E-2</v>
      </c>
      <c r="L47" s="57">
        <v>0.92500000000000004</v>
      </c>
      <c r="M47" s="57">
        <v>0.11559999999999999</v>
      </c>
      <c r="N47" s="57">
        <v>6.9000000000000006E-2</v>
      </c>
      <c r="O47" s="57">
        <v>1.22</v>
      </c>
      <c r="P47" s="57">
        <v>3.6700000000000003E-2</v>
      </c>
      <c r="Q47" s="57">
        <v>1.6E-2</v>
      </c>
      <c r="R47" s="57">
        <v>3.9</v>
      </c>
      <c r="S47" s="57" t="s">
        <v>60</v>
      </c>
      <c r="T47" s="57" t="s">
        <v>60</v>
      </c>
      <c r="AG47" s="57">
        <v>0.27310000000000001</v>
      </c>
      <c r="AH47" s="57">
        <v>0.156</v>
      </c>
      <c r="AI47" s="33">
        <f t="shared" si="0"/>
        <v>1.7337499999999999</v>
      </c>
      <c r="AJ47" s="57">
        <v>1.819</v>
      </c>
      <c r="AK47" s="57">
        <v>8.2799999999999999E-2</v>
      </c>
      <c r="AL47" s="57">
        <v>4.9000000000000002E-2</v>
      </c>
      <c r="AM47" s="57">
        <v>3.09</v>
      </c>
      <c r="AN47" s="57">
        <v>7.4399999999999994E-2</v>
      </c>
      <c r="AO47" s="57">
        <v>4.3999999999999997E-2</v>
      </c>
      <c r="AP47" s="57">
        <v>2.3050000000000002</v>
      </c>
      <c r="AQ47" s="57">
        <v>7.8299999999999995E-2</v>
      </c>
      <c r="AR47" s="57">
        <v>4.4999999999999998E-2</v>
      </c>
      <c r="AS47" s="57">
        <v>3.6030000000000002</v>
      </c>
      <c r="AT47" s="57">
        <v>0.11849999999999999</v>
      </c>
      <c r="AU47" s="57">
        <v>5.2999999999999999E-2</v>
      </c>
      <c r="AX47" s="57">
        <v>7.0999999999999994E-2</v>
      </c>
      <c r="BE47" s="57">
        <v>0.15390000000000001</v>
      </c>
      <c r="BF47" s="57">
        <v>9.0999999999999998E-2</v>
      </c>
      <c r="BG47" s="33">
        <f t="shared" si="1"/>
        <v>2.70425</v>
      </c>
    </row>
    <row r="48" spans="1:59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F48" s="57">
        <v>2</v>
      </c>
      <c r="G48" s="57">
        <v>1</v>
      </c>
      <c r="AI48" s="33" t="e">
        <f t="shared" si="0"/>
        <v>#DIV/0!</v>
      </c>
      <c r="AJ48" s="57">
        <v>1.24</v>
      </c>
      <c r="AK48" s="57">
        <v>2.1899999999999999E-2</v>
      </c>
      <c r="AL48" s="57">
        <v>8.9999999999999993E-3</v>
      </c>
      <c r="AM48" s="57">
        <v>3.31</v>
      </c>
      <c r="AN48" s="57">
        <v>0.14660000000000001</v>
      </c>
      <c r="AO48" s="57">
        <v>0.01</v>
      </c>
      <c r="AP48" s="57">
        <v>1.68</v>
      </c>
      <c r="AQ48" s="57">
        <v>1.49E-2</v>
      </c>
      <c r="AR48" s="57">
        <v>6.0000000000000001E-3</v>
      </c>
      <c r="AS48" s="57">
        <v>1.66</v>
      </c>
      <c r="AT48" s="57">
        <v>1.7500000000000002E-2</v>
      </c>
      <c r="AU48" s="57">
        <v>7.0000000000000001E-3</v>
      </c>
      <c r="BE48" s="57">
        <v>0.48089999999999999</v>
      </c>
      <c r="BF48" s="57">
        <v>0.17599999999999999</v>
      </c>
      <c r="BG48" s="33">
        <f t="shared" si="1"/>
        <v>1.9725000000000001</v>
      </c>
    </row>
    <row r="49" spans="1:59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  <c r="I49" s="57">
        <v>1.39</v>
      </c>
      <c r="J49" s="57" t="s">
        <v>60</v>
      </c>
      <c r="L49" s="57">
        <v>1.57</v>
      </c>
      <c r="M49" s="57" t="s">
        <v>60</v>
      </c>
      <c r="O49" s="57">
        <v>1.47</v>
      </c>
      <c r="P49" s="57" t="s">
        <v>60</v>
      </c>
      <c r="AI49" s="33">
        <f t="shared" si="0"/>
        <v>1.4766666666666666</v>
      </c>
      <c r="BG49" s="33" t="e">
        <f t="shared" si="1"/>
        <v>#DIV/0!</v>
      </c>
    </row>
    <row r="50" spans="1:59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  <c r="F50" s="57">
        <v>1</v>
      </c>
      <c r="G50" s="57">
        <v>2</v>
      </c>
      <c r="I50" s="57">
        <v>1.29</v>
      </c>
      <c r="J50" s="57">
        <v>5.4199999999999998E-2</v>
      </c>
      <c r="K50" s="57">
        <v>3.3000000000000002E-2</v>
      </c>
      <c r="L50" s="57">
        <v>1.91</v>
      </c>
      <c r="M50" s="57">
        <v>5.0999999999999997E-2</v>
      </c>
      <c r="N50" s="57">
        <v>3.3000000000000002E-2</v>
      </c>
      <c r="O50" s="57">
        <v>1.43</v>
      </c>
      <c r="P50" s="57" t="s">
        <v>60</v>
      </c>
      <c r="AI50" s="33">
        <f t="shared" si="0"/>
        <v>1.5433333333333332</v>
      </c>
      <c r="AJ50" s="57">
        <v>3.29</v>
      </c>
      <c r="AK50" s="57">
        <v>8.5599999999999996E-2</v>
      </c>
      <c r="AL50" s="57">
        <v>5.1999999999999998E-2</v>
      </c>
      <c r="AM50" s="57">
        <v>3.42</v>
      </c>
      <c r="AN50" s="57">
        <v>0.11559999999999999</v>
      </c>
      <c r="AO50" s="57">
        <v>7.0000000000000007E-2</v>
      </c>
      <c r="BE50" s="57">
        <v>0.30580000000000002</v>
      </c>
      <c r="BF50" s="57">
        <v>0.186</v>
      </c>
      <c r="BG50" s="33">
        <f t="shared" si="1"/>
        <v>3.355</v>
      </c>
    </row>
    <row r="51" spans="1:59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  <c r="AI51" s="33" t="e">
        <f t="shared" si="0"/>
        <v>#DIV/0!</v>
      </c>
      <c r="BG51" s="33" t="e">
        <f t="shared" si="1"/>
        <v>#DIV/0!</v>
      </c>
    </row>
    <row r="52" spans="1:59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  <c r="AI52" s="33" t="e">
        <f t="shared" si="0"/>
        <v>#DIV/0!</v>
      </c>
      <c r="BG52" s="33" t="e">
        <f t="shared" si="1"/>
        <v>#DIV/0!</v>
      </c>
    </row>
    <row r="53" spans="1:59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AI53" s="33" t="e">
        <f t="shared" si="0"/>
        <v>#DIV/0!</v>
      </c>
      <c r="BG53" s="33" t="e">
        <f t="shared" si="1"/>
        <v>#DIV/0!</v>
      </c>
    </row>
    <row r="54" spans="1:59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  <c r="AI54" s="33" t="e">
        <f t="shared" si="0"/>
        <v>#DIV/0!</v>
      </c>
      <c r="BG54" s="33" t="e">
        <f t="shared" si="1"/>
        <v>#DIV/0!</v>
      </c>
    </row>
    <row r="55" spans="1:59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  <c r="AI55" s="33" t="e">
        <f t="shared" si="0"/>
        <v>#DIV/0!</v>
      </c>
      <c r="BG55" s="33" t="e">
        <f t="shared" si="1"/>
        <v>#DIV/0!</v>
      </c>
    </row>
    <row r="56" spans="1:59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  <c r="AI56" s="33" t="e">
        <f t="shared" si="0"/>
        <v>#DIV/0!</v>
      </c>
      <c r="BG56" s="33" t="e">
        <f t="shared" si="1"/>
        <v>#DIV/0!</v>
      </c>
    </row>
    <row r="57" spans="1:59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  <c r="AI57" s="33" t="e">
        <f t="shared" si="0"/>
        <v>#DIV/0!</v>
      </c>
      <c r="BG57" s="33" t="e">
        <f t="shared" si="1"/>
        <v>#DIV/0!</v>
      </c>
    </row>
    <row r="58" spans="1:59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  <c r="AI58" s="33" t="e">
        <f t="shared" si="0"/>
        <v>#DIV/0!</v>
      </c>
      <c r="BG58" s="33" t="e">
        <f t="shared" si="1"/>
        <v>#DIV/0!</v>
      </c>
    </row>
    <row r="59" spans="1:59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  <c r="AI59" s="33" t="e">
        <f t="shared" si="0"/>
        <v>#DIV/0!</v>
      </c>
      <c r="BG59" s="33" t="e">
        <f t="shared" si="1"/>
        <v>#DIV/0!</v>
      </c>
    </row>
    <row r="60" spans="1:59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  <c r="AI60" s="33" t="e">
        <f t="shared" si="0"/>
        <v>#DIV/0!</v>
      </c>
      <c r="BG60" s="33" t="e">
        <f t="shared" si="1"/>
        <v>#DIV/0!</v>
      </c>
    </row>
    <row r="61" spans="1:59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  <c r="AI61" s="33" t="e">
        <f t="shared" si="0"/>
        <v>#DIV/0!</v>
      </c>
      <c r="BG61" s="33" t="e">
        <f t="shared" si="1"/>
        <v>#DIV/0!</v>
      </c>
    </row>
    <row r="62" spans="1:59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  <c r="AI62" s="33" t="e">
        <f t="shared" si="0"/>
        <v>#DIV/0!</v>
      </c>
      <c r="BG62" s="33" t="e">
        <f t="shared" si="1"/>
        <v>#DIV/0!</v>
      </c>
    </row>
    <row r="63" spans="1:59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  <c r="AI63" s="33" t="e">
        <f t="shared" si="0"/>
        <v>#DIV/0!</v>
      </c>
      <c r="BG63" s="33" t="e">
        <f t="shared" si="1"/>
        <v>#DIV/0!</v>
      </c>
    </row>
    <row r="64" spans="1:59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  <c r="AI64" s="33" t="e">
        <f t="shared" si="0"/>
        <v>#DIV/0!</v>
      </c>
      <c r="BG64" s="33" t="e">
        <f t="shared" si="1"/>
        <v>#DIV/0!</v>
      </c>
    </row>
    <row r="65" spans="1:59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  <c r="AI65" s="33" t="e">
        <f t="shared" si="0"/>
        <v>#DIV/0!</v>
      </c>
      <c r="BG65" s="33" t="e">
        <f t="shared" si="1"/>
        <v>#DIV/0!</v>
      </c>
    </row>
    <row r="66" spans="1:59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  <c r="AI66" s="33" t="e">
        <f t="shared" si="0"/>
        <v>#DIV/0!</v>
      </c>
      <c r="BG66" s="33" t="e">
        <f t="shared" si="1"/>
        <v>#DIV/0!</v>
      </c>
    </row>
    <row r="67" spans="1:59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  <c r="AI67" s="33" t="e">
        <f t="shared" si="0"/>
        <v>#DIV/0!</v>
      </c>
      <c r="BG67" s="33" t="e">
        <f t="shared" si="1"/>
        <v>#DIV/0!</v>
      </c>
    </row>
    <row r="68" spans="1:59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  <c r="AI68" s="33" t="e">
        <f t="shared" si="0"/>
        <v>#DIV/0!</v>
      </c>
      <c r="BG68" s="33" t="e">
        <f t="shared" si="1"/>
        <v>#DIV/0!</v>
      </c>
    </row>
    <row r="69" spans="1:59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  <c r="AI69" s="33" t="e">
        <f t="shared" si="0"/>
        <v>#DIV/0!</v>
      </c>
      <c r="BG69" s="33" t="e">
        <f t="shared" si="1"/>
        <v>#DIV/0!</v>
      </c>
    </row>
    <row r="70" spans="1:59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  <c r="AI70" s="33" t="e">
        <f t="shared" si="0"/>
        <v>#DIV/0!</v>
      </c>
      <c r="BG70" s="33" t="e">
        <f t="shared" si="1"/>
        <v>#DIV/0!</v>
      </c>
    </row>
    <row r="71" spans="1:59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  <c r="AI71" s="33" t="e">
        <f t="shared" si="0"/>
        <v>#DIV/0!</v>
      </c>
      <c r="BG71" s="33" t="e">
        <f t="shared" si="1"/>
        <v>#DIV/0!</v>
      </c>
    </row>
    <row r="72" spans="1:59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  <c r="AI72" s="33" t="e">
        <f t="shared" si="0"/>
        <v>#DIV/0!</v>
      </c>
      <c r="BG72" s="33" t="e">
        <f t="shared" si="1"/>
        <v>#DIV/0!</v>
      </c>
    </row>
    <row r="73" spans="1:59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  <c r="AI73" s="33" t="e">
        <f t="shared" si="0"/>
        <v>#DIV/0!</v>
      </c>
      <c r="BG73" s="33" t="e">
        <f t="shared" si="1"/>
        <v>#DIV/0!</v>
      </c>
    </row>
    <row r="74" spans="1:59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  <c r="AI74" s="33" t="e">
        <f t="shared" si="0"/>
        <v>#DIV/0!</v>
      </c>
      <c r="BG74" s="33" t="e">
        <f t="shared" si="1"/>
        <v>#DIV/0!</v>
      </c>
    </row>
    <row r="75" spans="1:59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AI75" s="33" t="e">
        <f t="shared" si="0"/>
        <v>#DIV/0!</v>
      </c>
      <c r="BG75" s="33" t="e">
        <f t="shared" si="1"/>
        <v>#DIV/0!</v>
      </c>
    </row>
    <row r="76" spans="1:59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  <c r="AI76" s="33" t="e">
        <f t="shared" si="0"/>
        <v>#DIV/0!</v>
      </c>
      <c r="BG76" s="33" t="e">
        <f t="shared" si="1"/>
        <v>#DIV/0!</v>
      </c>
    </row>
    <row r="77" spans="1:59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  <c r="AI77" s="33" t="e">
        <f t="shared" si="0"/>
        <v>#DIV/0!</v>
      </c>
      <c r="BG77" s="33" t="e">
        <f t="shared" si="1"/>
        <v>#DIV/0!</v>
      </c>
    </row>
    <row r="78" spans="1:59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  <c r="AI78" s="33" t="e">
        <f t="shared" si="0"/>
        <v>#DIV/0!</v>
      </c>
      <c r="BG78" s="33" t="e">
        <f t="shared" si="1"/>
        <v>#DIV/0!</v>
      </c>
    </row>
    <row r="79" spans="1:59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  <c r="AI79" s="33" t="e">
        <f t="shared" si="0"/>
        <v>#DIV/0!</v>
      </c>
      <c r="BG79" s="33" t="e">
        <f t="shared" si="1"/>
        <v>#DIV/0!</v>
      </c>
    </row>
    <row r="80" spans="1:59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  <c r="AI80" s="33" t="e">
        <f t="shared" si="0"/>
        <v>#DIV/0!</v>
      </c>
      <c r="BG80" s="33" t="e">
        <f t="shared" si="1"/>
        <v>#DIV/0!</v>
      </c>
    </row>
    <row r="81" spans="1:59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  <c r="AI81" s="33" t="e">
        <f t="shared" si="0"/>
        <v>#DIV/0!</v>
      </c>
      <c r="BG81" s="33" t="e">
        <f t="shared" si="1"/>
        <v>#DIV/0!</v>
      </c>
    </row>
    <row r="82" spans="1:59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AI82" s="33" t="e">
        <f t="shared" si="0"/>
        <v>#DIV/0!</v>
      </c>
      <c r="BG82" s="33" t="e">
        <f t="shared" si="1"/>
        <v>#DIV/0!</v>
      </c>
    </row>
    <row r="83" spans="1:59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  <c r="AI83" s="33" t="e">
        <f t="shared" si="0"/>
        <v>#DIV/0!</v>
      </c>
      <c r="BG83" s="33" t="e">
        <f t="shared" si="1"/>
        <v>#DIV/0!</v>
      </c>
    </row>
    <row r="84" spans="1:59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  <c r="AI84" s="33" t="e">
        <f t="shared" si="0"/>
        <v>#DIV/0!</v>
      </c>
      <c r="BG84" s="33" t="e">
        <f t="shared" si="1"/>
        <v>#DIV/0!</v>
      </c>
    </row>
    <row r="85" spans="1:59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  <c r="AI85" s="33" t="e">
        <f t="shared" si="0"/>
        <v>#DIV/0!</v>
      </c>
      <c r="BG85" s="33" t="e">
        <f t="shared" si="1"/>
        <v>#DIV/0!</v>
      </c>
    </row>
    <row r="86" spans="1:59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  <c r="AI86" s="33" t="e">
        <f t="shared" si="0"/>
        <v>#DIV/0!</v>
      </c>
      <c r="BG86" s="33" t="e">
        <f t="shared" si="1"/>
        <v>#DIV/0!</v>
      </c>
    </row>
    <row r="87" spans="1:59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  <c r="AI87" s="33" t="e">
        <f t="shared" si="0"/>
        <v>#DIV/0!</v>
      </c>
      <c r="BG87" s="33" t="e">
        <f t="shared" si="1"/>
        <v>#DIV/0!</v>
      </c>
    </row>
    <row r="88" spans="1:59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  <c r="AI88" s="33" t="e">
        <f t="shared" si="0"/>
        <v>#DIV/0!</v>
      </c>
      <c r="BG88" s="33" t="e">
        <f t="shared" si="1"/>
        <v>#DIV/0!</v>
      </c>
    </row>
    <row r="89" spans="1:59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  <c r="AI89" s="33" t="e">
        <f t="shared" si="0"/>
        <v>#DIV/0!</v>
      </c>
      <c r="BG89" s="33" t="e">
        <f t="shared" si="1"/>
        <v>#DIV/0!</v>
      </c>
    </row>
    <row r="90" spans="1:59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  <c r="AI90" s="33" t="e">
        <f t="shared" si="0"/>
        <v>#DIV/0!</v>
      </c>
      <c r="BG90" s="33" t="e">
        <f t="shared" si="1"/>
        <v>#DIV/0!</v>
      </c>
    </row>
    <row r="91" spans="1:59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AI91" s="33" t="e">
        <f t="shared" si="0"/>
        <v>#DIV/0!</v>
      </c>
      <c r="BG91" s="33" t="e">
        <f t="shared" si="1"/>
        <v>#DIV/0!</v>
      </c>
    </row>
    <row r="92" spans="1:59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F92" s="57">
        <v>0</v>
      </c>
      <c r="G92" s="57">
        <v>1</v>
      </c>
      <c r="AI92" s="33" t="e">
        <f t="shared" si="0"/>
        <v>#DIV/0!</v>
      </c>
      <c r="BG92" s="33" t="e">
        <f t="shared" si="1"/>
        <v>#DIV/0!</v>
      </c>
    </row>
    <row r="93" spans="1:59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F93" s="57">
        <v>0</v>
      </c>
      <c r="G93" s="57">
        <v>2</v>
      </c>
      <c r="AI93" s="33" t="e">
        <f t="shared" si="0"/>
        <v>#DIV/0!</v>
      </c>
      <c r="BG93" s="33" t="e">
        <f t="shared" si="1"/>
        <v>#DIV/0!</v>
      </c>
    </row>
    <row r="94" spans="1:59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  <c r="F94" s="57">
        <v>0</v>
      </c>
      <c r="G94" s="57">
        <v>2</v>
      </c>
      <c r="AI94" s="33" t="e">
        <f t="shared" si="0"/>
        <v>#DIV/0!</v>
      </c>
      <c r="BG94" s="33" t="e">
        <f t="shared" si="1"/>
        <v>#DIV/0!</v>
      </c>
    </row>
    <row r="95" spans="1:59" x14ac:dyDescent="0.2">
      <c r="A95" s="2"/>
      <c r="B95" s="76" t="s">
        <v>60</v>
      </c>
      <c r="C95" s="2" t="s">
        <v>112</v>
      </c>
      <c r="D95" s="3" t="s">
        <v>64</v>
      </c>
      <c r="E95" s="3"/>
      <c r="AI95" s="33" t="e">
        <f t="shared" si="0"/>
        <v>#DIV/0!</v>
      </c>
      <c r="BG95" s="33" t="e">
        <f t="shared" si="1"/>
        <v>#DIV/0!</v>
      </c>
    </row>
    <row r="96" spans="1:59" x14ac:dyDescent="0.2">
      <c r="A96" s="2"/>
      <c r="B96" s="76" t="s">
        <v>60</v>
      </c>
      <c r="C96" s="2" t="s">
        <v>112</v>
      </c>
      <c r="D96" s="3" t="s">
        <v>64</v>
      </c>
      <c r="E96" s="3"/>
      <c r="AI96" s="33" t="e">
        <f t="shared" si="0"/>
        <v>#DIV/0!</v>
      </c>
      <c r="BG96" s="33" t="e">
        <f t="shared" si="1"/>
        <v>#DIV/0!</v>
      </c>
    </row>
    <row r="97" spans="1:59" x14ac:dyDescent="0.2">
      <c r="A97" s="2"/>
      <c r="B97" s="76" t="s">
        <v>60</v>
      </c>
      <c r="C97" s="2" t="s">
        <v>112</v>
      </c>
      <c r="D97" s="3" t="s">
        <v>64</v>
      </c>
      <c r="E97" s="3"/>
      <c r="AI97" s="33" t="e">
        <f t="shared" si="0"/>
        <v>#DIV/0!</v>
      </c>
      <c r="BG97" s="33" t="e">
        <f t="shared" si="1"/>
        <v>#DIV/0!</v>
      </c>
    </row>
    <row r="98" spans="1:59" x14ac:dyDescent="0.2">
      <c r="A98" s="2"/>
      <c r="B98" s="76" t="s">
        <v>60</v>
      </c>
      <c r="C98" s="2" t="s">
        <v>112</v>
      </c>
      <c r="D98" s="3" t="s">
        <v>64</v>
      </c>
      <c r="E98" s="3"/>
      <c r="AI98" s="33" t="e">
        <f t="shared" si="0"/>
        <v>#DIV/0!</v>
      </c>
      <c r="BG98" s="33" t="e">
        <f t="shared" si="1"/>
        <v>#DIV/0!</v>
      </c>
    </row>
    <row r="99" spans="1:59" x14ac:dyDescent="0.2">
      <c r="A99" s="2"/>
      <c r="B99" s="76" t="s">
        <v>60</v>
      </c>
      <c r="C99" s="2" t="s">
        <v>112</v>
      </c>
      <c r="D99" s="3" t="s">
        <v>64</v>
      </c>
      <c r="E99" s="3"/>
      <c r="AI99" s="33" t="e">
        <f t="shared" si="0"/>
        <v>#DIV/0!</v>
      </c>
      <c r="BG99" s="33" t="e">
        <f t="shared" si="1"/>
        <v>#DIV/0!</v>
      </c>
    </row>
    <row r="100" spans="1:59" x14ac:dyDescent="0.2">
      <c r="A100" s="2"/>
      <c r="B100" s="76" t="s">
        <v>60</v>
      </c>
      <c r="C100" s="2" t="s">
        <v>113</v>
      </c>
      <c r="D100" s="3" t="s">
        <v>64</v>
      </c>
      <c r="E100" s="3"/>
      <c r="AI100" s="33" t="e">
        <f t="shared" si="0"/>
        <v>#DIV/0!</v>
      </c>
      <c r="BG100" s="33" t="e">
        <f t="shared" si="1"/>
        <v>#DIV/0!</v>
      </c>
    </row>
    <row r="101" spans="1:59" x14ac:dyDescent="0.2">
      <c r="A101" s="2"/>
      <c r="B101" s="76" t="s">
        <v>60</v>
      </c>
      <c r="C101" s="2" t="s">
        <v>113</v>
      </c>
      <c r="D101" s="3" t="s">
        <v>64</v>
      </c>
      <c r="E101" s="3"/>
      <c r="AI101" s="33" t="e">
        <f t="shared" si="0"/>
        <v>#DIV/0!</v>
      </c>
      <c r="BG101" s="33" t="e">
        <f t="shared" si="1"/>
        <v>#DIV/0!</v>
      </c>
    </row>
    <row r="102" spans="1:59" x14ac:dyDescent="0.2">
      <c r="A102" s="2"/>
      <c r="B102" s="76" t="s">
        <v>60</v>
      </c>
      <c r="C102" s="2" t="s">
        <v>113</v>
      </c>
      <c r="D102" s="3" t="s">
        <v>64</v>
      </c>
      <c r="E102" s="3"/>
      <c r="AI102" s="33" t="e">
        <f t="shared" si="0"/>
        <v>#DIV/0!</v>
      </c>
      <c r="BG102" s="33" t="e">
        <f t="shared" si="1"/>
        <v>#DIV/0!</v>
      </c>
    </row>
    <row r="103" spans="1:59" x14ac:dyDescent="0.2">
      <c r="A103" s="2"/>
      <c r="B103" s="76" t="s">
        <v>60</v>
      </c>
      <c r="C103" s="2" t="s">
        <v>113</v>
      </c>
      <c r="D103" s="3" t="s">
        <v>64</v>
      </c>
      <c r="E103" s="3"/>
      <c r="AI103" s="33" t="e">
        <f t="shared" si="0"/>
        <v>#DIV/0!</v>
      </c>
      <c r="BG103" s="33" t="e">
        <f t="shared" si="1"/>
        <v>#DIV/0!</v>
      </c>
    </row>
    <row r="104" spans="1:59" x14ac:dyDescent="0.2">
      <c r="A104" s="2"/>
      <c r="B104" s="76" t="s">
        <v>60</v>
      </c>
      <c r="C104" s="2" t="s">
        <v>113</v>
      </c>
      <c r="D104" s="3" t="s">
        <v>64</v>
      </c>
      <c r="E104" s="3"/>
      <c r="AI104" s="33" t="e">
        <f t="shared" si="0"/>
        <v>#DIV/0!</v>
      </c>
      <c r="BG104" s="33" t="e">
        <f t="shared" si="1"/>
        <v>#DIV/0!</v>
      </c>
    </row>
    <row r="105" spans="1:59" x14ac:dyDescent="0.2">
      <c r="A105" s="12"/>
      <c r="B105" s="76" t="s">
        <v>60</v>
      </c>
      <c r="C105" s="12" t="s">
        <v>114</v>
      </c>
      <c r="D105" s="12" t="s">
        <v>58</v>
      </c>
      <c r="E105" s="12"/>
      <c r="AI105" s="33" t="e">
        <f t="shared" si="0"/>
        <v>#DIV/0!</v>
      </c>
      <c r="BG105" s="33" t="e">
        <f t="shared" si="1"/>
        <v>#DIV/0!</v>
      </c>
    </row>
    <row r="106" spans="1:59" x14ac:dyDescent="0.2">
      <c r="A106" s="12"/>
      <c r="B106" s="76" t="s">
        <v>60</v>
      </c>
      <c r="C106" s="12" t="s">
        <v>114</v>
      </c>
      <c r="D106" s="12" t="s">
        <v>58</v>
      </c>
      <c r="E106" s="12"/>
      <c r="AI106" s="33" t="e">
        <f t="shared" si="0"/>
        <v>#DIV/0!</v>
      </c>
      <c r="BG106" s="33" t="e">
        <f t="shared" si="1"/>
        <v>#DIV/0!</v>
      </c>
    </row>
    <row r="107" spans="1:59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F107" s="57">
        <v>0</v>
      </c>
      <c r="G107" s="57">
        <v>8</v>
      </c>
      <c r="I107" s="57">
        <v>0.84099999999999997</v>
      </c>
      <c r="J107" s="57">
        <v>0.14199999999999999</v>
      </c>
      <c r="K107" s="57">
        <v>5.8000000000000003E-2</v>
      </c>
      <c r="L107" s="57">
        <v>1.32</v>
      </c>
      <c r="M107" s="57">
        <v>0.1173</v>
      </c>
      <c r="N107" s="57">
        <v>4.3999999999999997E-2</v>
      </c>
      <c r="O107" s="57">
        <v>1.35</v>
      </c>
      <c r="P107" s="57">
        <v>0.1452</v>
      </c>
      <c r="Q107" s="57">
        <v>5.7000000000000002E-2</v>
      </c>
      <c r="R107" s="57">
        <v>1.226</v>
      </c>
      <c r="S107" s="57">
        <v>0.23699999999999999</v>
      </c>
      <c r="T107" s="57">
        <v>0.105</v>
      </c>
      <c r="U107" s="57">
        <v>1.39</v>
      </c>
      <c r="V107" s="57">
        <v>0.1232</v>
      </c>
      <c r="W107" s="57">
        <v>4.8000000000000001E-2</v>
      </c>
      <c r="AG107" s="57">
        <v>0.1502</v>
      </c>
      <c r="AH107" s="57">
        <v>0.06</v>
      </c>
      <c r="AI107" s="33">
        <f t="shared" si="0"/>
        <v>1.2254</v>
      </c>
      <c r="AJ107" s="57">
        <v>0.43</v>
      </c>
      <c r="AK107" s="57">
        <v>0.13039999999999999</v>
      </c>
      <c r="AL107" s="57">
        <v>5.7000000000000002E-2</v>
      </c>
      <c r="AM107" s="57">
        <v>1.93</v>
      </c>
      <c r="AN107" s="57">
        <v>9.7799999999999998E-2</v>
      </c>
      <c r="AO107" s="57">
        <v>0.04</v>
      </c>
      <c r="AP107" s="57">
        <v>1.96</v>
      </c>
      <c r="AQ107" s="57">
        <v>0.1348</v>
      </c>
      <c r="AR107" s="57">
        <v>6.2E-2</v>
      </c>
      <c r="AS107" s="33">
        <f>AVERAGE(1.74,2.25)</f>
        <v>1.9950000000000001</v>
      </c>
      <c r="AT107" s="57">
        <v>0.15540000000000001</v>
      </c>
      <c r="AU107" s="57">
        <v>6.7000000000000004E-2</v>
      </c>
      <c r="AX107" s="57">
        <v>4.2000000000000003E-2</v>
      </c>
      <c r="BE107" s="57">
        <v>0.22500000000000001</v>
      </c>
      <c r="BF107" s="57">
        <v>0.109</v>
      </c>
      <c r="BG107" s="33">
        <f t="shared" si="1"/>
        <v>1.5787499999999999</v>
      </c>
    </row>
    <row r="108" spans="1:59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AI108" s="33" t="e">
        <f t="shared" si="0"/>
        <v>#DIV/0!</v>
      </c>
      <c r="BG108" s="33" t="e">
        <f t="shared" si="1"/>
        <v>#DIV/0!</v>
      </c>
    </row>
    <row r="109" spans="1:59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AI109" s="33" t="e">
        <f t="shared" si="0"/>
        <v>#DIV/0!</v>
      </c>
      <c r="BG109" s="33" t="e">
        <f t="shared" si="1"/>
        <v>#DIV/0!</v>
      </c>
    </row>
    <row r="110" spans="1:59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F110" s="57">
        <v>0</v>
      </c>
      <c r="G110" s="57">
        <v>8</v>
      </c>
      <c r="I110" s="57">
        <v>0.81</v>
      </c>
      <c r="J110" s="57">
        <v>0.17380000000000001</v>
      </c>
      <c r="K110" s="57">
        <v>8.2000000000000003E-2</v>
      </c>
      <c r="L110" s="57">
        <v>0.77800000000000002</v>
      </c>
      <c r="M110" s="57">
        <v>0.21529999999999999</v>
      </c>
      <c r="N110" s="57">
        <v>0.1</v>
      </c>
      <c r="AG110" s="57">
        <v>0.62519999999999998</v>
      </c>
      <c r="AH110" s="57">
        <v>0.28699999999999998</v>
      </c>
      <c r="AI110" s="33">
        <f t="shared" si="0"/>
        <v>0.79400000000000004</v>
      </c>
      <c r="AJ110" s="57">
        <v>2.7</v>
      </c>
      <c r="AK110" s="57">
        <v>0.18759999999999999</v>
      </c>
      <c r="AL110" s="57">
        <v>9.5000000000000001E-2</v>
      </c>
      <c r="AM110" s="57">
        <v>2.69</v>
      </c>
      <c r="AN110" s="57">
        <v>0.1933</v>
      </c>
      <c r="AO110" s="57">
        <v>0.10100000000000001</v>
      </c>
      <c r="BE110" s="57">
        <v>0.7026</v>
      </c>
      <c r="BF110" s="57">
        <v>0.35499999999999998</v>
      </c>
      <c r="BG110" s="33">
        <f t="shared" si="1"/>
        <v>2.6950000000000003</v>
      </c>
    </row>
    <row r="111" spans="1:59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AI111" s="33" t="e">
        <f t="shared" si="0"/>
        <v>#DIV/0!</v>
      </c>
      <c r="BG111" s="33" t="e">
        <f t="shared" si="1"/>
        <v>#DIV/0!</v>
      </c>
    </row>
    <row r="112" spans="1:59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F112" s="57">
        <v>0</v>
      </c>
      <c r="G112" s="57">
        <v>7</v>
      </c>
      <c r="AI112" s="33" t="e">
        <f t="shared" si="0"/>
        <v>#DIV/0!</v>
      </c>
      <c r="AJ112" s="57">
        <v>2.4900000000000002</v>
      </c>
      <c r="AK112" s="57">
        <v>8.8300000000000003E-2</v>
      </c>
      <c r="AL112" s="57">
        <v>4.2999999999999997E-2</v>
      </c>
      <c r="AM112" s="57">
        <v>2.39</v>
      </c>
      <c r="AN112" s="57">
        <v>0.14749999999999999</v>
      </c>
      <c r="AO112" s="57">
        <v>7.0999999999999994E-2</v>
      </c>
      <c r="AP112" s="57">
        <v>1.9450000000000001</v>
      </c>
      <c r="AQ112" s="57">
        <v>8.8400000000000006E-2</v>
      </c>
      <c r="AR112" s="57">
        <v>0.04</v>
      </c>
      <c r="AS112" s="57">
        <v>2.032</v>
      </c>
      <c r="AT112" s="57">
        <v>9.3700000000000006E-2</v>
      </c>
      <c r="AU112" s="57">
        <v>4.5999999999999999E-2</v>
      </c>
      <c r="AV112" s="57">
        <v>2.504</v>
      </c>
      <c r="AW112" s="57">
        <v>8.6099999999999996E-2</v>
      </c>
      <c r="AX112" s="57">
        <v>4.2000000000000003E-2</v>
      </c>
      <c r="BE112" s="57">
        <v>8.1900000000000001E-2</v>
      </c>
      <c r="BF112" s="57">
        <v>3.9E-2</v>
      </c>
      <c r="BG112" s="33">
        <f t="shared" si="1"/>
        <v>2.2722000000000002</v>
      </c>
    </row>
    <row r="113" spans="1:59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  <c r="F113" s="57">
        <v>0</v>
      </c>
      <c r="G113" s="57">
        <v>8</v>
      </c>
      <c r="AI113" s="33" t="e">
        <f t="shared" si="0"/>
        <v>#DIV/0!</v>
      </c>
      <c r="BG113" s="33" t="e">
        <f t="shared" si="1"/>
        <v>#DIV/0!</v>
      </c>
    </row>
    <row r="114" spans="1:59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  <c r="F114" s="57">
        <v>0</v>
      </c>
      <c r="G114" s="57">
        <v>9</v>
      </c>
      <c r="AI114" s="33" t="e">
        <f t="shared" si="0"/>
        <v>#DIV/0!</v>
      </c>
      <c r="BG114" s="33" t="e">
        <f t="shared" si="1"/>
        <v>#DIV/0!</v>
      </c>
    </row>
    <row r="115" spans="1:59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  <c r="F115" s="57">
        <v>0</v>
      </c>
      <c r="G115" s="57">
        <v>8</v>
      </c>
      <c r="AI115" s="33" t="e">
        <f t="shared" si="0"/>
        <v>#DIV/0!</v>
      </c>
      <c r="BG115" s="33" t="e">
        <f t="shared" si="1"/>
        <v>#DIV/0!</v>
      </c>
    </row>
    <row r="116" spans="1:59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  <c r="F116" s="57">
        <v>0</v>
      </c>
      <c r="G116" s="57">
        <v>7</v>
      </c>
      <c r="AI116" s="33" t="e">
        <f t="shared" si="0"/>
        <v>#DIV/0!</v>
      </c>
      <c r="BG116" s="33" t="e">
        <f t="shared" si="1"/>
        <v>#DIV/0!</v>
      </c>
    </row>
    <row r="117" spans="1:59" x14ac:dyDescent="0.2">
      <c r="A117" s="57" t="s">
        <v>134</v>
      </c>
      <c r="B117" s="76" t="s">
        <v>135</v>
      </c>
      <c r="C117" s="57" t="s">
        <v>134</v>
      </c>
      <c r="D117" s="54" t="s">
        <v>137</v>
      </c>
      <c r="E117" s="57" t="s">
        <v>141</v>
      </c>
      <c r="AI117" s="33" t="e">
        <f t="shared" si="0"/>
        <v>#DIV/0!</v>
      </c>
      <c r="BG117" s="33" t="e">
        <f t="shared" si="1"/>
        <v>#DIV/0!</v>
      </c>
    </row>
    <row r="118" spans="1:59" x14ac:dyDescent="0.2">
      <c r="A118" s="57" t="s">
        <v>139</v>
      </c>
      <c r="B118" s="76" t="s">
        <v>139</v>
      </c>
      <c r="C118" s="57" t="s">
        <v>139</v>
      </c>
      <c r="D118" s="54" t="s">
        <v>142</v>
      </c>
      <c r="E118" s="57" t="s">
        <v>144</v>
      </c>
      <c r="I118" s="57">
        <v>2.1</v>
      </c>
      <c r="J118" s="57">
        <v>0.43080000000000002</v>
      </c>
      <c r="K118" s="57">
        <v>0.17100000000000001</v>
      </c>
      <c r="L118" s="57">
        <v>1.76</v>
      </c>
      <c r="M118" s="57">
        <v>0.66520000000000001</v>
      </c>
      <c r="N118" s="57">
        <v>0.218</v>
      </c>
      <c r="O118" s="57">
        <v>1.98</v>
      </c>
      <c r="P118" s="57">
        <v>0.48070000000000002</v>
      </c>
      <c r="Q118" s="57">
        <v>0.222</v>
      </c>
      <c r="R118" s="57">
        <v>2.04</v>
      </c>
      <c r="S118" s="57">
        <v>0.37340000000000001</v>
      </c>
      <c r="T118" s="57">
        <v>0.14799999999999999</v>
      </c>
      <c r="U118" s="57">
        <v>1.8</v>
      </c>
      <c r="V118" s="57">
        <v>0.33260000000000001</v>
      </c>
      <c r="W118" s="57">
        <v>0.11899999999999999</v>
      </c>
      <c r="AG118" s="57">
        <v>1.724</v>
      </c>
      <c r="AH118" s="57">
        <v>0.70899999999999996</v>
      </c>
      <c r="AI118" s="33">
        <f t="shared" si="0"/>
        <v>1.9359999999999999</v>
      </c>
      <c r="BG118" s="33" t="e">
        <f t="shared" si="1"/>
        <v>#DIV/0!</v>
      </c>
    </row>
    <row r="119" spans="1:59" x14ac:dyDescent="0.2">
      <c r="A119" s="57" t="s">
        <v>134</v>
      </c>
      <c r="B119" s="76" t="s">
        <v>135</v>
      </c>
      <c r="C119" s="57" t="s">
        <v>134</v>
      </c>
      <c r="D119" s="54" t="s">
        <v>142</v>
      </c>
      <c r="E119" s="57" t="s">
        <v>145</v>
      </c>
      <c r="AI119" s="33" t="e">
        <f t="shared" si="0"/>
        <v>#DIV/0!</v>
      </c>
      <c r="BG119" s="33" t="e">
        <f t="shared" si="1"/>
        <v>#DIV/0!</v>
      </c>
    </row>
    <row r="120" spans="1:59" x14ac:dyDescent="0.2">
      <c r="A120" s="57" t="s">
        <v>127</v>
      </c>
      <c r="B120" s="76" t="s">
        <v>146</v>
      </c>
      <c r="C120" s="57" t="s">
        <v>262</v>
      </c>
      <c r="D120" s="54" t="s">
        <v>58</v>
      </c>
      <c r="E120" s="57">
        <v>2093</v>
      </c>
      <c r="I120" s="57">
        <v>0.35</v>
      </c>
      <c r="J120" s="57">
        <v>0.2452</v>
      </c>
      <c r="K120" s="57">
        <v>0.158</v>
      </c>
      <c r="L120" s="57">
        <v>0.51</v>
      </c>
      <c r="M120" s="57">
        <v>0.35320000000000001</v>
      </c>
      <c r="N120" s="57">
        <v>0.22900000000000001</v>
      </c>
      <c r="O120" s="57">
        <v>0.25</v>
      </c>
      <c r="P120" s="57">
        <v>0.28089999999999998</v>
      </c>
      <c r="Q120" s="57">
        <v>0.17799999999999999</v>
      </c>
      <c r="R120" s="57">
        <v>0.18</v>
      </c>
      <c r="S120" s="57">
        <v>0.36299999999999999</v>
      </c>
      <c r="T120" s="57">
        <v>0.22800000000000001</v>
      </c>
      <c r="AG120" s="57">
        <v>0.73450000000000004</v>
      </c>
      <c r="AH120" s="57">
        <v>0.47199999999999998</v>
      </c>
      <c r="AI120" s="33">
        <f t="shared" si="0"/>
        <v>0.32250000000000001</v>
      </c>
      <c r="BG120" s="33" t="e">
        <f t="shared" si="1"/>
        <v>#DIV/0!</v>
      </c>
    </row>
    <row r="121" spans="1:59" x14ac:dyDescent="0.2">
      <c r="A121" s="57" t="s">
        <v>127</v>
      </c>
      <c r="B121" s="76" t="s">
        <v>146</v>
      </c>
      <c r="C121" s="57" t="s">
        <v>262</v>
      </c>
      <c r="D121" s="54" t="s">
        <v>58</v>
      </c>
      <c r="E121" s="57">
        <v>2092</v>
      </c>
      <c r="I121" s="57">
        <v>0.28599999999999998</v>
      </c>
      <c r="J121" s="57">
        <v>0.23230000000000001</v>
      </c>
      <c r="K121" s="57">
        <v>0.14299999999999999</v>
      </c>
      <c r="L121" s="57">
        <v>0.2</v>
      </c>
      <c r="M121" s="57">
        <v>0.28210000000000002</v>
      </c>
      <c r="N121" s="57">
        <v>0.16500000000000001</v>
      </c>
      <c r="O121" s="57">
        <v>0.26400000000000001</v>
      </c>
      <c r="P121" s="57">
        <v>0.23499999999999999</v>
      </c>
      <c r="Q121" s="57">
        <v>0.14299999999999999</v>
      </c>
      <c r="AG121" s="57">
        <v>1.3508</v>
      </c>
      <c r="AH121" s="57">
        <v>0.82399999999999995</v>
      </c>
      <c r="AI121" s="33">
        <f t="shared" si="0"/>
        <v>0.25</v>
      </c>
      <c r="BG121" s="33" t="e">
        <f t="shared" si="1"/>
        <v>#DIV/0!</v>
      </c>
    </row>
    <row r="122" spans="1:59" x14ac:dyDescent="0.2">
      <c r="A122" s="57" t="s">
        <v>127</v>
      </c>
      <c r="B122" s="76" t="s">
        <v>146</v>
      </c>
      <c r="C122" s="57" t="s">
        <v>262</v>
      </c>
      <c r="D122" s="54" t="s">
        <v>58</v>
      </c>
      <c r="E122" s="57">
        <v>2091</v>
      </c>
      <c r="I122" s="57">
        <v>0.373</v>
      </c>
      <c r="J122" s="57">
        <v>0.37890000000000001</v>
      </c>
      <c r="K122" s="57">
        <v>0.223</v>
      </c>
      <c r="L122" s="57">
        <v>0.29599999999999999</v>
      </c>
      <c r="M122" s="57">
        <v>0.40720000000000001</v>
      </c>
      <c r="N122" s="57">
        <v>0.23699999999999999</v>
      </c>
      <c r="O122" s="57">
        <v>0.27500000000000002</v>
      </c>
      <c r="P122" s="57">
        <v>0.3382</v>
      </c>
      <c r="Q122" s="57">
        <v>0.19900000000000001</v>
      </c>
      <c r="AG122" s="57">
        <v>1.2568999999999999</v>
      </c>
      <c r="AH122" s="57">
        <v>0.75900000000000001</v>
      </c>
      <c r="AI122" s="33">
        <f t="shared" si="0"/>
        <v>0.31466666666666665</v>
      </c>
      <c r="BG122" s="33" t="e">
        <f t="shared" si="1"/>
        <v>#DIV/0!</v>
      </c>
    </row>
    <row r="123" spans="1:59" x14ac:dyDescent="0.2">
      <c r="A123" s="57" t="s">
        <v>127</v>
      </c>
      <c r="B123" s="76" t="s">
        <v>146</v>
      </c>
      <c r="C123" s="57" t="s">
        <v>262</v>
      </c>
      <c r="D123" s="54" t="s">
        <v>64</v>
      </c>
      <c r="E123" s="57">
        <v>2090</v>
      </c>
      <c r="F123" s="57">
        <v>0</v>
      </c>
      <c r="G123" s="57">
        <v>4</v>
      </c>
      <c r="I123" s="57">
        <v>1.74</v>
      </c>
      <c r="J123" s="57" t="s">
        <v>60</v>
      </c>
      <c r="L123" s="57">
        <v>0.57899999999999996</v>
      </c>
      <c r="M123" s="57" t="s">
        <v>60</v>
      </c>
      <c r="AI123" s="33">
        <f t="shared" si="0"/>
        <v>1.1595</v>
      </c>
      <c r="BG123" s="33" t="e">
        <f t="shared" si="1"/>
        <v>#DIV/0!</v>
      </c>
    </row>
    <row r="124" spans="1:59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2089</v>
      </c>
      <c r="I124" s="57">
        <v>0.99</v>
      </c>
      <c r="J124" s="57">
        <v>0.42420000000000002</v>
      </c>
      <c r="K124" s="57">
        <v>0.25900000000000001</v>
      </c>
      <c r="L124" s="57">
        <v>1.5</v>
      </c>
      <c r="M124" s="57">
        <v>0.71230000000000004</v>
      </c>
      <c r="N124" s="57">
        <v>0.45</v>
      </c>
      <c r="O124" s="57">
        <v>1.5</v>
      </c>
      <c r="P124" s="57">
        <v>0.32190000000000002</v>
      </c>
      <c r="Q124" s="57">
        <v>0.19500000000000001</v>
      </c>
      <c r="R124" s="57">
        <v>0.6</v>
      </c>
      <c r="S124" s="57">
        <v>0.36049999999999999</v>
      </c>
      <c r="T124" s="57">
        <v>0.224</v>
      </c>
      <c r="U124" s="57">
        <v>0.45</v>
      </c>
      <c r="V124" s="57">
        <v>0.26300000000000001</v>
      </c>
      <c r="W124" s="57">
        <v>0.156</v>
      </c>
      <c r="X124" s="57">
        <v>0.32</v>
      </c>
      <c r="Y124" s="57">
        <v>0.25059999999999999</v>
      </c>
      <c r="Z124" s="57">
        <v>0.152</v>
      </c>
      <c r="AA124" s="57">
        <v>1.49</v>
      </c>
      <c r="AB124" s="57">
        <v>0.40460000000000002</v>
      </c>
      <c r="AC124" s="57">
        <v>0.25</v>
      </c>
      <c r="AD124" s="57">
        <v>1.19</v>
      </c>
      <c r="AE124" s="57">
        <v>0.19</v>
      </c>
      <c r="AF124" s="57">
        <v>0.11700000000000001</v>
      </c>
      <c r="AG124" s="57">
        <v>0.214</v>
      </c>
      <c r="AH124" s="57">
        <v>0.13100000000000001</v>
      </c>
      <c r="AI124" s="33">
        <f t="shared" si="0"/>
        <v>1.0049999999999999</v>
      </c>
      <c r="BG124" s="33" t="e">
        <f t="shared" si="1"/>
        <v>#DIV/0!</v>
      </c>
    </row>
    <row r="125" spans="1:59" x14ac:dyDescent="0.2">
      <c r="A125" s="57" t="s">
        <v>127</v>
      </c>
      <c r="B125" s="76" t="s">
        <v>146</v>
      </c>
      <c r="C125" s="57" t="s">
        <v>262</v>
      </c>
      <c r="D125" s="54" t="s">
        <v>64</v>
      </c>
      <c r="E125" s="57">
        <v>2088</v>
      </c>
      <c r="F125" s="57">
        <v>0</v>
      </c>
      <c r="G125" s="57">
        <v>4</v>
      </c>
      <c r="I125" s="57">
        <v>1.43</v>
      </c>
      <c r="J125" s="57" t="s">
        <v>60</v>
      </c>
      <c r="L125" s="57">
        <v>1.32</v>
      </c>
      <c r="M125" s="57" t="s">
        <v>60</v>
      </c>
      <c r="O125" s="57">
        <v>1.5</v>
      </c>
      <c r="P125" s="57" t="s">
        <v>60</v>
      </c>
      <c r="AI125" s="33">
        <f t="shared" si="0"/>
        <v>1.4166666666666667</v>
      </c>
      <c r="BG125" s="33" t="e">
        <f t="shared" si="1"/>
        <v>#DIV/0!</v>
      </c>
    </row>
    <row r="126" spans="1:59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2087</v>
      </c>
      <c r="F126" s="57">
        <v>0</v>
      </c>
      <c r="G126" s="57">
        <v>3</v>
      </c>
      <c r="I126" s="57">
        <v>1.17</v>
      </c>
      <c r="J126" s="57" t="s">
        <v>60</v>
      </c>
      <c r="L126" s="57">
        <v>1.1299999999999999</v>
      </c>
      <c r="M126" s="57" t="s">
        <v>60</v>
      </c>
      <c r="AI126" s="33">
        <f t="shared" si="0"/>
        <v>1.1499999999999999</v>
      </c>
      <c r="BG126" s="33" t="e">
        <f t="shared" si="1"/>
        <v>#DIV/0!</v>
      </c>
    </row>
    <row r="127" spans="1:59" x14ac:dyDescent="0.2">
      <c r="A127" s="57" t="s">
        <v>127</v>
      </c>
      <c r="B127" s="76" t="s">
        <v>146</v>
      </c>
      <c r="C127" s="57" t="s">
        <v>262</v>
      </c>
      <c r="D127" s="54" t="s">
        <v>64</v>
      </c>
      <c r="E127" s="57">
        <v>2086</v>
      </c>
      <c r="F127" s="57">
        <v>0</v>
      </c>
      <c r="G127" s="57">
        <v>2</v>
      </c>
      <c r="I127" s="57">
        <v>0.45800000000000002</v>
      </c>
      <c r="J127" s="57" t="s">
        <v>60</v>
      </c>
      <c r="L127" s="57">
        <v>1.3</v>
      </c>
      <c r="M127" s="57" t="s">
        <v>60</v>
      </c>
      <c r="O127" s="57">
        <v>0.91600000000000004</v>
      </c>
      <c r="P127" s="57" t="s">
        <v>60</v>
      </c>
      <c r="R127" s="57">
        <v>1.07</v>
      </c>
      <c r="S127" s="57" t="s">
        <v>60</v>
      </c>
      <c r="AI127" s="33">
        <f t="shared" si="0"/>
        <v>0.93600000000000017</v>
      </c>
      <c r="BG127" s="33" t="e">
        <f t="shared" si="1"/>
        <v>#DIV/0!</v>
      </c>
    </row>
    <row r="128" spans="1:59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2085</v>
      </c>
      <c r="F128" s="57">
        <v>1</v>
      </c>
      <c r="G128" s="57">
        <v>1</v>
      </c>
      <c r="I128" s="57">
        <v>1.149</v>
      </c>
      <c r="J128" s="57" t="s">
        <v>60</v>
      </c>
      <c r="L128" s="57">
        <v>1.26</v>
      </c>
      <c r="M128" s="57" t="s">
        <v>60</v>
      </c>
      <c r="O128" s="57">
        <v>1.1299999999999999</v>
      </c>
      <c r="P128" s="57" t="s">
        <v>60</v>
      </c>
      <c r="AI128" s="33">
        <f t="shared" si="0"/>
        <v>1.1796666666666666</v>
      </c>
      <c r="BG128" s="33" t="e">
        <f t="shared" si="1"/>
        <v>#DIV/0!</v>
      </c>
    </row>
    <row r="129" spans="1:59" x14ac:dyDescent="0.2">
      <c r="A129" s="57" t="s">
        <v>139</v>
      </c>
      <c r="B129" s="76" t="s">
        <v>139</v>
      </c>
      <c r="C129" s="57" t="s">
        <v>139</v>
      </c>
      <c r="D129" s="54" t="s">
        <v>64</v>
      </c>
      <c r="E129" s="57">
        <v>2020</v>
      </c>
      <c r="F129" s="57">
        <v>0</v>
      </c>
      <c r="G129" s="57">
        <v>7</v>
      </c>
      <c r="I129" s="57">
        <v>1.64</v>
      </c>
      <c r="J129" s="57">
        <v>0.17399999999999999</v>
      </c>
      <c r="K129" s="57">
        <v>8.6999999999999994E-2</v>
      </c>
      <c r="L129" s="57">
        <v>1.3149999999999999</v>
      </c>
      <c r="M129" s="57">
        <v>0.23599999999999999</v>
      </c>
      <c r="N129" s="57">
        <v>0.113</v>
      </c>
      <c r="O129" s="57">
        <v>1.786</v>
      </c>
      <c r="P129" s="57">
        <v>0.2114</v>
      </c>
      <c r="Q129" s="57">
        <v>0.10299999999999999</v>
      </c>
      <c r="R129" s="57">
        <v>1.59</v>
      </c>
      <c r="S129" s="57">
        <v>0.21390000000000001</v>
      </c>
      <c r="T129" s="57">
        <v>0.10199999999999999</v>
      </c>
      <c r="AG129" s="57">
        <v>0.64729999999999999</v>
      </c>
      <c r="AH129" s="57">
        <v>0.30399999999999999</v>
      </c>
      <c r="AI129" s="33">
        <f t="shared" si="0"/>
        <v>1.5827500000000001</v>
      </c>
      <c r="BG129" s="33" t="e">
        <f t="shared" si="1"/>
        <v>#DIV/0!</v>
      </c>
    </row>
    <row r="130" spans="1:59" x14ac:dyDescent="0.2">
      <c r="A130" s="57" t="s">
        <v>139</v>
      </c>
      <c r="B130" s="76" t="s">
        <v>139</v>
      </c>
      <c r="C130" s="57" t="s">
        <v>139</v>
      </c>
      <c r="D130" s="54" t="s">
        <v>64</v>
      </c>
      <c r="E130" s="57">
        <v>2021</v>
      </c>
      <c r="F130" s="57">
        <v>0</v>
      </c>
      <c r="G130" s="57">
        <v>6</v>
      </c>
      <c r="I130" s="57">
        <v>1.52</v>
      </c>
      <c r="J130" s="57">
        <v>0.12540000000000001</v>
      </c>
      <c r="K130" s="57">
        <v>5.5E-2</v>
      </c>
      <c r="L130" s="57">
        <v>1.1399999999999999</v>
      </c>
      <c r="M130" s="57">
        <v>0.15179999999999999</v>
      </c>
      <c r="N130" s="57">
        <v>6.0999999999999999E-2</v>
      </c>
      <c r="O130" s="57">
        <v>1.53</v>
      </c>
      <c r="P130" s="57">
        <v>0.20019999999999999</v>
      </c>
      <c r="Q130" s="57">
        <v>7.8E-2</v>
      </c>
      <c r="AG130" s="57">
        <v>0.50490000000000002</v>
      </c>
      <c r="AH130" s="57">
        <v>0.21099999999999999</v>
      </c>
      <c r="AI130" s="33">
        <f t="shared" si="0"/>
        <v>1.3966666666666665</v>
      </c>
      <c r="BG130" s="33" t="e">
        <f t="shared" si="1"/>
        <v>#DIV/0!</v>
      </c>
    </row>
    <row r="131" spans="1:59" x14ac:dyDescent="0.2">
      <c r="A131" s="57" t="s">
        <v>139</v>
      </c>
      <c r="B131" s="76" t="s">
        <v>139</v>
      </c>
      <c r="C131" s="57" t="s">
        <v>139</v>
      </c>
      <c r="D131" s="54" t="s">
        <v>58</v>
      </c>
      <c r="E131" s="57">
        <v>2022</v>
      </c>
      <c r="I131" s="57">
        <v>0.92</v>
      </c>
      <c r="J131" s="57">
        <v>0.3054</v>
      </c>
      <c r="K131" s="57">
        <v>0.155</v>
      </c>
      <c r="L131" s="57">
        <v>0.55000000000000004</v>
      </c>
      <c r="M131" s="57">
        <v>0.37069999999999997</v>
      </c>
      <c r="N131" s="57">
        <v>0.216</v>
      </c>
      <c r="O131" s="57">
        <v>1.56</v>
      </c>
      <c r="P131" s="57">
        <v>0.30220000000000002</v>
      </c>
      <c r="Q131" s="57">
        <v>0.157</v>
      </c>
      <c r="R131" s="57">
        <v>0.98</v>
      </c>
      <c r="S131" s="57">
        <v>0.3463</v>
      </c>
      <c r="T131" s="57">
        <v>0.18</v>
      </c>
      <c r="AG131" s="57">
        <v>1.8374999999999999</v>
      </c>
      <c r="AH131" s="57">
        <v>1.0269999999999999</v>
      </c>
      <c r="AI131" s="33">
        <f t="shared" si="0"/>
        <v>1.0024999999999999</v>
      </c>
      <c r="BG131" s="33" t="e">
        <f t="shared" si="1"/>
        <v>#DIV/0!</v>
      </c>
    </row>
    <row r="132" spans="1:59" x14ac:dyDescent="0.2">
      <c r="A132" s="57" t="s">
        <v>139</v>
      </c>
      <c r="B132" s="76" t="s">
        <v>139</v>
      </c>
      <c r="C132" s="57" t="s">
        <v>139</v>
      </c>
      <c r="D132" s="54" t="s">
        <v>58</v>
      </c>
      <c r="E132" s="57">
        <v>2023</v>
      </c>
      <c r="I132" s="57">
        <v>0.78200000000000003</v>
      </c>
      <c r="J132" s="57">
        <v>0.29189999999999999</v>
      </c>
      <c r="K132" s="57">
        <v>0.14299999999999999</v>
      </c>
      <c r="L132" s="57">
        <v>0.64500000000000002</v>
      </c>
      <c r="M132" s="57">
        <v>0.40589999999999998</v>
      </c>
      <c r="N132" s="57">
        <v>0.188</v>
      </c>
      <c r="O132" s="57">
        <v>0.77900000000000003</v>
      </c>
      <c r="P132" s="57">
        <v>0.43709999999999999</v>
      </c>
      <c r="Q132" s="57">
        <v>0.26100000000000001</v>
      </c>
      <c r="R132" s="57">
        <v>0.61699999999999999</v>
      </c>
      <c r="S132" s="57">
        <v>0.308</v>
      </c>
      <c r="T132" s="57">
        <v>0.187</v>
      </c>
      <c r="AG132" s="57">
        <v>2.3073000000000001</v>
      </c>
      <c r="AH132" s="57">
        <v>1.21</v>
      </c>
      <c r="AI132" s="33">
        <f t="shared" si="0"/>
        <v>0.70574999999999999</v>
      </c>
      <c r="BG132" s="33" t="e">
        <f t="shared" si="1"/>
        <v>#DIV/0!</v>
      </c>
    </row>
    <row r="133" spans="1:59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2024</v>
      </c>
      <c r="F133" s="57">
        <v>0</v>
      </c>
      <c r="G133" s="57">
        <v>8</v>
      </c>
      <c r="I133" s="57">
        <v>0.77</v>
      </c>
      <c r="J133" s="57">
        <v>0.27789999999999998</v>
      </c>
      <c r="K133" s="57">
        <v>0.11600000000000001</v>
      </c>
      <c r="L133" s="57">
        <v>0.9</v>
      </c>
      <c r="M133" s="57">
        <v>0.20380000000000001</v>
      </c>
      <c r="N133" s="57">
        <v>8.1000000000000003E-2</v>
      </c>
      <c r="O133" s="57">
        <v>1.26</v>
      </c>
      <c r="P133" s="57">
        <v>0.187</v>
      </c>
      <c r="Q133" s="57">
        <v>7.2999999999999995E-2</v>
      </c>
      <c r="R133" s="57">
        <v>1.44</v>
      </c>
      <c r="S133" s="57">
        <v>0.2177</v>
      </c>
      <c r="T133" s="57">
        <v>0.1</v>
      </c>
      <c r="AG133" s="57">
        <v>0.61580000000000001</v>
      </c>
      <c r="AH133" s="57">
        <v>0.23499999999999999</v>
      </c>
      <c r="AI133" s="33">
        <f t="shared" si="0"/>
        <v>1.0925</v>
      </c>
      <c r="BG133" s="33" t="e">
        <f t="shared" si="1"/>
        <v>#DIV/0!</v>
      </c>
    </row>
    <row r="134" spans="1:59" x14ac:dyDescent="0.2">
      <c r="A134" s="57" t="s">
        <v>139</v>
      </c>
      <c r="B134" s="76" t="s">
        <v>139</v>
      </c>
      <c r="C134" s="57" t="s">
        <v>139</v>
      </c>
      <c r="D134" s="54" t="s">
        <v>64</v>
      </c>
      <c r="E134" s="57">
        <v>2025</v>
      </c>
      <c r="F134" s="57">
        <v>0</v>
      </c>
      <c r="G134" s="57">
        <v>7</v>
      </c>
      <c r="I134" s="57">
        <v>1.1000000000000001</v>
      </c>
      <c r="J134" s="57">
        <v>0.10970000000000001</v>
      </c>
      <c r="K134" s="57">
        <v>0.05</v>
      </c>
      <c r="L134" s="57">
        <v>1.35</v>
      </c>
      <c r="M134" s="57">
        <v>0.1081</v>
      </c>
      <c r="N134" s="57">
        <v>0.05</v>
      </c>
      <c r="O134" s="57">
        <v>1.42</v>
      </c>
      <c r="P134" s="57">
        <v>0.1479</v>
      </c>
      <c r="Q134" s="57">
        <v>6.4000000000000001E-2</v>
      </c>
      <c r="R134" s="57">
        <v>1.5</v>
      </c>
      <c r="S134" s="57">
        <v>9.7199999999999995E-2</v>
      </c>
      <c r="T134" s="57">
        <v>4.4999999999999998E-2</v>
      </c>
      <c r="AG134" s="57">
        <v>0.24840000000000001</v>
      </c>
      <c r="AH134" s="57">
        <v>0.113</v>
      </c>
      <c r="AI134" s="33">
        <f t="shared" si="0"/>
        <v>1.3424999999999998</v>
      </c>
      <c r="BG134" s="33" t="e">
        <f t="shared" si="1"/>
        <v>#DIV/0!</v>
      </c>
    </row>
    <row r="135" spans="1:59" x14ac:dyDescent="0.2">
      <c r="A135" s="57" t="s">
        <v>139</v>
      </c>
      <c r="B135" s="76" t="s">
        <v>147</v>
      </c>
      <c r="C135" s="57" t="s">
        <v>263</v>
      </c>
      <c r="D135" s="54" t="s">
        <v>64</v>
      </c>
      <c r="E135" s="57">
        <v>2026</v>
      </c>
      <c r="F135" s="57">
        <v>0</v>
      </c>
      <c r="G135" s="57">
        <v>6</v>
      </c>
      <c r="I135" s="57">
        <v>1.6</v>
      </c>
      <c r="J135" s="57">
        <v>0.13300000000000001</v>
      </c>
      <c r="K135" s="57">
        <v>0.05</v>
      </c>
      <c r="L135" s="57">
        <v>1.1499999999999999</v>
      </c>
      <c r="M135" s="57">
        <v>0.13270000000000001</v>
      </c>
      <c r="N135" s="57">
        <v>5.2999999999999999E-2</v>
      </c>
      <c r="O135" s="57">
        <v>1.59</v>
      </c>
      <c r="P135" s="57">
        <v>0.19089999999999999</v>
      </c>
      <c r="Q135" s="57">
        <v>7.5999999999999998E-2</v>
      </c>
      <c r="R135" s="57">
        <v>1.43</v>
      </c>
      <c r="S135" s="57">
        <v>0.16520000000000001</v>
      </c>
      <c r="T135" s="57">
        <v>6.8000000000000005E-2</v>
      </c>
      <c r="AG135" s="57">
        <v>0.75800000000000001</v>
      </c>
      <c r="AH135" s="57">
        <v>0.29699999999999999</v>
      </c>
      <c r="AI135" s="33">
        <f t="shared" si="0"/>
        <v>1.4424999999999999</v>
      </c>
      <c r="BG135" s="33" t="e">
        <f t="shared" si="1"/>
        <v>#DIV/0!</v>
      </c>
    </row>
    <row r="136" spans="1:59" x14ac:dyDescent="0.2">
      <c r="A136" s="57" t="s">
        <v>139</v>
      </c>
      <c r="B136" s="76" t="s">
        <v>147</v>
      </c>
      <c r="C136" s="57" t="s">
        <v>263</v>
      </c>
      <c r="D136" s="54" t="s">
        <v>64</v>
      </c>
      <c r="E136" s="57">
        <v>2027</v>
      </c>
      <c r="F136" s="57">
        <v>0</v>
      </c>
      <c r="G136" s="57">
        <v>7</v>
      </c>
      <c r="I136" s="57">
        <v>1.42</v>
      </c>
      <c r="J136" s="57">
        <v>9.6699999999999994E-2</v>
      </c>
      <c r="K136" s="57">
        <v>7.9000000000000001E-2</v>
      </c>
      <c r="L136" s="57">
        <v>1.6</v>
      </c>
      <c r="M136" s="57">
        <v>9.5799999999999996E-2</v>
      </c>
      <c r="N136" s="57">
        <v>9.4E-2</v>
      </c>
      <c r="O136" s="57">
        <v>1.55</v>
      </c>
      <c r="P136" s="57">
        <v>0.12479999999999999</v>
      </c>
      <c r="Q136" s="57">
        <v>5.0999999999999997E-2</v>
      </c>
      <c r="R136" s="57">
        <v>1.4</v>
      </c>
      <c r="S136" s="57">
        <v>0.17219999999999999</v>
      </c>
      <c r="U136" s="57">
        <v>1.32</v>
      </c>
      <c r="V136" s="57">
        <v>0.19020000000000001</v>
      </c>
      <c r="X136" s="57">
        <v>1.39</v>
      </c>
      <c r="Y136" s="57">
        <v>0.1053</v>
      </c>
      <c r="AG136" s="57">
        <v>0.33379999999999999</v>
      </c>
      <c r="AH136" s="57">
        <v>0.14000000000000001</v>
      </c>
      <c r="AI136" s="33">
        <f t="shared" si="0"/>
        <v>1.4466666666666665</v>
      </c>
      <c r="BG136" s="33" t="e">
        <f t="shared" si="1"/>
        <v>#DIV/0!</v>
      </c>
    </row>
    <row r="137" spans="1:59" x14ac:dyDescent="0.2">
      <c r="A137" s="57" t="s">
        <v>139</v>
      </c>
      <c r="B137" s="76" t="s">
        <v>147</v>
      </c>
      <c r="C137" s="57" t="s">
        <v>263</v>
      </c>
      <c r="D137" s="54" t="s">
        <v>64</v>
      </c>
      <c r="E137" s="57">
        <v>2028</v>
      </c>
    </row>
    <row r="138" spans="1:59" x14ac:dyDescent="0.2">
      <c r="A138" s="57" t="s">
        <v>139</v>
      </c>
      <c r="B138" s="76" t="s">
        <v>147</v>
      </c>
      <c r="C138" s="57" t="s">
        <v>263</v>
      </c>
      <c r="D138" s="54" t="s">
        <v>58</v>
      </c>
      <c r="E138" s="57">
        <v>2029</v>
      </c>
    </row>
    <row r="139" spans="1:59" x14ac:dyDescent="0.2">
      <c r="A139" s="57" t="s">
        <v>139</v>
      </c>
      <c r="B139" s="76" t="s">
        <v>147</v>
      </c>
      <c r="C139" s="57" t="s">
        <v>263</v>
      </c>
      <c r="D139" s="54" t="s">
        <v>58</v>
      </c>
      <c r="E139" s="57">
        <v>2030</v>
      </c>
    </row>
    <row r="140" spans="1:59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2031</v>
      </c>
    </row>
    <row r="141" spans="1:59" x14ac:dyDescent="0.2">
      <c r="A141" s="57" t="s">
        <v>134</v>
      </c>
      <c r="B141" s="76" t="s">
        <v>146</v>
      </c>
      <c r="C141" s="57" t="s">
        <v>264</v>
      </c>
      <c r="D141" s="54" t="s">
        <v>64</v>
      </c>
      <c r="E141" s="57">
        <v>2012</v>
      </c>
    </row>
    <row r="142" spans="1:59" x14ac:dyDescent="0.2">
      <c r="A142" s="57" t="s">
        <v>134</v>
      </c>
      <c r="B142" s="76" t="s">
        <v>146</v>
      </c>
      <c r="C142" s="57" t="s">
        <v>264</v>
      </c>
      <c r="D142" s="54" t="s">
        <v>64</v>
      </c>
      <c r="E142" s="57">
        <v>2013</v>
      </c>
    </row>
    <row r="143" spans="1:59" x14ac:dyDescent="0.2">
      <c r="A143" s="57" t="s">
        <v>134</v>
      </c>
      <c r="B143" s="76" t="s">
        <v>146</v>
      </c>
      <c r="C143" s="57" t="s">
        <v>264</v>
      </c>
      <c r="D143" s="54" t="s">
        <v>64</v>
      </c>
      <c r="E143" s="57">
        <v>2014</v>
      </c>
    </row>
    <row r="144" spans="1:59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2015</v>
      </c>
    </row>
    <row r="145" spans="1:5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1478</v>
      </c>
    </row>
    <row r="146" spans="1:5" x14ac:dyDescent="0.2">
      <c r="D146" s="3"/>
    </row>
    <row r="147" spans="1:5" x14ac:dyDescent="0.2">
      <c r="D147" s="3"/>
    </row>
    <row r="148" spans="1:5" x14ac:dyDescent="0.2">
      <c r="D148" s="3"/>
    </row>
    <row r="149" spans="1:5" x14ac:dyDescent="0.2">
      <c r="D149" s="3"/>
    </row>
    <row r="150" spans="1:5" x14ac:dyDescent="0.2">
      <c r="D150" s="3"/>
    </row>
    <row r="151" spans="1:5" x14ac:dyDescent="0.2">
      <c r="D151" s="3"/>
    </row>
    <row r="152" spans="1:5" x14ac:dyDescent="0.2">
      <c r="D152" s="3"/>
    </row>
    <row r="153" spans="1:5" x14ac:dyDescent="0.2">
      <c r="D153" s="3"/>
    </row>
    <row r="154" spans="1:5" x14ac:dyDescent="0.2">
      <c r="D154" s="3"/>
    </row>
    <row r="155" spans="1:5" x14ac:dyDescent="0.2">
      <c r="D155" s="3"/>
    </row>
    <row r="156" spans="1:5" x14ac:dyDescent="0.2">
      <c r="D156" s="3"/>
    </row>
    <row r="157" spans="1:5" x14ac:dyDescent="0.2">
      <c r="D157" s="3"/>
    </row>
    <row r="158" spans="1:5" x14ac:dyDescent="0.2">
      <c r="D158" s="3"/>
    </row>
    <row r="159" spans="1:5" x14ac:dyDescent="0.2">
      <c r="D159" s="3"/>
    </row>
    <row r="160" spans="1:5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H310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0" x14ac:dyDescent="0.2">
      <c r="C1" s="74" t="s">
        <v>207</v>
      </c>
      <c r="D1" s="1"/>
      <c r="E1" s="1"/>
    </row>
    <row r="3" spans="1:60" x14ac:dyDescent="0.2">
      <c r="C3" s="12" t="s">
        <v>1</v>
      </c>
      <c r="D3" s="38" t="s">
        <v>208</v>
      </c>
      <c r="E3" s="12"/>
    </row>
    <row r="4" spans="1:60" x14ac:dyDescent="0.2">
      <c r="C4" s="12" t="s">
        <v>3</v>
      </c>
      <c r="D4" s="77">
        <v>44645</v>
      </c>
    </row>
    <row r="6" spans="1:60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78" t="s">
        <v>234</v>
      </c>
      <c r="AH6" s="78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78" t="s">
        <v>258</v>
      </c>
      <c r="BF6" s="78" t="s">
        <v>259</v>
      </c>
      <c r="BG6" s="30" t="s">
        <v>260</v>
      </c>
      <c r="BH6" s="29" t="s">
        <v>26</v>
      </c>
    </row>
    <row r="7" spans="1:60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G7" s="57">
        <v>7</v>
      </c>
      <c r="H7" s="70">
        <v>44645</v>
      </c>
      <c r="I7" s="57">
        <v>1.2749999999999999</v>
      </c>
      <c r="J7" s="57">
        <v>1.2749999999999999</v>
      </c>
      <c r="L7" s="57">
        <v>1.2749999999999999</v>
      </c>
      <c r="M7" s="57">
        <v>1.2749999999999999</v>
      </c>
      <c r="O7" s="57">
        <v>0.75</v>
      </c>
      <c r="P7" s="57">
        <v>0.75</v>
      </c>
      <c r="AG7" s="57">
        <v>3.5990000000000002</v>
      </c>
      <c r="AH7" s="57">
        <v>2.21</v>
      </c>
    </row>
    <row r="8" spans="1:60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  <c r="G8" s="57">
        <v>9</v>
      </c>
      <c r="AM8" s="57">
        <v>2.2999999999999998</v>
      </c>
    </row>
    <row r="9" spans="1:60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G9" s="57">
        <v>2</v>
      </c>
      <c r="H9" s="70">
        <v>44645</v>
      </c>
      <c r="I9" s="57">
        <v>0.76</v>
      </c>
      <c r="L9" s="57">
        <v>1.1599999999999999</v>
      </c>
      <c r="O9" s="57">
        <v>1</v>
      </c>
      <c r="S9" s="57">
        <v>1.24</v>
      </c>
      <c r="AG9" s="57">
        <v>5.2119999999999997</v>
      </c>
      <c r="AH9" s="57">
        <v>2.6629999999999998</v>
      </c>
      <c r="AJ9" s="57">
        <v>2.7250000000000001</v>
      </c>
      <c r="AM9" s="57">
        <v>2.4</v>
      </c>
      <c r="AP9" s="57">
        <v>2.4500000000000002</v>
      </c>
      <c r="AS9" s="57">
        <v>3.25</v>
      </c>
      <c r="AV9" s="57">
        <v>2.95</v>
      </c>
      <c r="BE9" s="57">
        <v>0.21099999999999999</v>
      </c>
      <c r="BF9" s="57">
        <v>0.124</v>
      </c>
    </row>
    <row r="10" spans="1:60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  <c r="G10" s="57">
        <v>7</v>
      </c>
    </row>
    <row r="11" spans="1:60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0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  <c r="G12" s="57">
        <v>8</v>
      </c>
    </row>
    <row r="13" spans="1:60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  <c r="G13" s="57">
        <v>10</v>
      </c>
    </row>
    <row r="14" spans="1:60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0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  <c r="G15" s="57">
        <v>7</v>
      </c>
    </row>
    <row r="16" spans="1:60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  <c r="G16" s="57">
        <v>9</v>
      </c>
    </row>
    <row r="17" spans="1:60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60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G18" s="57">
        <v>10</v>
      </c>
    </row>
    <row r="19" spans="1:60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  <c r="G19" s="57">
        <v>10</v>
      </c>
    </row>
    <row r="20" spans="1:60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60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  <c r="G21" s="57">
        <v>10</v>
      </c>
    </row>
    <row r="22" spans="1:60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  <c r="G22" s="57">
        <v>10</v>
      </c>
    </row>
    <row r="23" spans="1:60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  <c r="G23" s="57">
        <v>9</v>
      </c>
    </row>
    <row r="24" spans="1:60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G24" s="57">
        <v>9</v>
      </c>
      <c r="H24" s="70">
        <v>44645</v>
      </c>
      <c r="I24" s="57">
        <v>1.35</v>
      </c>
      <c r="L24" s="57">
        <v>2.4</v>
      </c>
      <c r="O24" s="57">
        <v>2.4</v>
      </c>
      <c r="R24" s="57">
        <v>2.21</v>
      </c>
      <c r="AG24" s="57">
        <v>1.7170000000000001</v>
      </c>
      <c r="AH24" s="57">
        <v>0.71199999999999997</v>
      </c>
      <c r="AJ24" s="57">
        <v>2.0499999999999998</v>
      </c>
      <c r="AM24" s="57">
        <v>2.5499999999999998</v>
      </c>
      <c r="AP24" s="57">
        <v>2</v>
      </c>
      <c r="AS24" s="57">
        <v>2.2000000000000002</v>
      </c>
      <c r="BE24" s="57">
        <v>1.099</v>
      </c>
      <c r="BF24" s="57">
        <v>0.48299999999999998</v>
      </c>
      <c r="BH24" s="57" t="s">
        <v>282</v>
      </c>
    </row>
    <row r="25" spans="1:60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  <c r="G25" s="57">
        <v>8</v>
      </c>
    </row>
    <row r="26" spans="1:60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60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G27" s="57">
        <v>9</v>
      </c>
      <c r="H27" s="70">
        <v>44645</v>
      </c>
      <c r="I27" s="57">
        <v>0.9</v>
      </c>
      <c r="AJ27" s="57">
        <v>1.35</v>
      </c>
      <c r="AM27" s="57">
        <v>1.95</v>
      </c>
      <c r="AP27" s="57">
        <v>1.95</v>
      </c>
      <c r="AS27" s="57">
        <v>1.95</v>
      </c>
      <c r="BE27" s="57">
        <v>0.35899999999999999</v>
      </c>
      <c r="BF27" s="57">
        <v>0.14399999999999999</v>
      </c>
    </row>
    <row r="28" spans="1:60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60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60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G30" s="57">
        <v>9</v>
      </c>
      <c r="H30" s="70">
        <v>44645</v>
      </c>
      <c r="J30" s="57">
        <v>1.3</v>
      </c>
      <c r="M30" s="57">
        <v>0.70199999999999996</v>
      </c>
      <c r="P30" s="57">
        <v>0.80200000000000005</v>
      </c>
      <c r="S30" s="57">
        <v>0.99</v>
      </c>
      <c r="AG30" s="57">
        <v>2.5819999999999999</v>
      </c>
      <c r="AH30" s="57">
        <v>1.071</v>
      </c>
      <c r="AJ30" s="57">
        <v>3.05</v>
      </c>
      <c r="AM30" s="57">
        <v>2.5499999999999998</v>
      </c>
      <c r="AP30" s="57">
        <v>2.8</v>
      </c>
      <c r="BE30" s="57">
        <v>0.66900000000000004</v>
      </c>
      <c r="BF30" s="57">
        <v>0.28699999999999998</v>
      </c>
    </row>
    <row r="31" spans="1:60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G31" s="57">
        <v>1</v>
      </c>
      <c r="H31" s="70">
        <v>44645</v>
      </c>
      <c r="I31" s="57">
        <v>0.45</v>
      </c>
      <c r="J31" s="57">
        <v>0.45</v>
      </c>
      <c r="L31" s="57">
        <v>0.47499999999999998</v>
      </c>
      <c r="M31" s="57">
        <v>0.47499999999999998</v>
      </c>
      <c r="O31" s="57">
        <v>0.4</v>
      </c>
      <c r="P31" s="57">
        <v>0.4</v>
      </c>
      <c r="AG31" s="57">
        <v>4.2370000000000001</v>
      </c>
      <c r="AH31" s="57">
        <v>2.4540000000000002</v>
      </c>
      <c r="AJ31" s="57">
        <v>2.35</v>
      </c>
      <c r="AM31" s="57">
        <v>2.2999999999999998</v>
      </c>
      <c r="AP31" s="57">
        <v>2.5499999999999998</v>
      </c>
      <c r="BE31" s="57">
        <v>1.0720000000000001</v>
      </c>
      <c r="BF31" s="57">
        <v>0.64100000000000001</v>
      </c>
    </row>
    <row r="32" spans="1:60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G32" s="57">
        <v>5</v>
      </c>
      <c r="H32" s="70">
        <v>44645</v>
      </c>
      <c r="J32" s="57">
        <v>0.65</v>
      </c>
      <c r="M32" s="57">
        <v>0.7</v>
      </c>
      <c r="P32" s="57">
        <v>0.65</v>
      </c>
      <c r="AG32" s="57">
        <v>4.734</v>
      </c>
      <c r="AH32" s="57">
        <v>2.4889999999999999</v>
      </c>
      <c r="AJ32" s="57">
        <v>2.5499999999999998</v>
      </c>
      <c r="AM32" s="57">
        <v>3.45</v>
      </c>
      <c r="AP32" s="57">
        <v>1.4</v>
      </c>
      <c r="AS32" s="57">
        <v>1.4</v>
      </c>
      <c r="AV32" s="57">
        <v>1.6</v>
      </c>
      <c r="AY32" s="57">
        <v>3.4</v>
      </c>
      <c r="BE32" s="57">
        <v>2.6720000000000002</v>
      </c>
      <c r="BF32" s="57">
        <v>1.472</v>
      </c>
    </row>
    <row r="33" spans="1:60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G33" s="57">
        <v>9</v>
      </c>
      <c r="H33" s="70">
        <v>44645</v>
      </c>
      <c r="I33" s="57">
        <v>0.875</v>
      </c>
      <c r="J33" s="57">
        <v>0.875</v>
      </c>
      <c r="L33" s="57">
        <v>1.05</v>
      </c>
      <c r="M33" s="57">
        <v>1.05</v>
      </c>
      <c r="O33" s="57">
        <v>1.05</v>
      </c>
      <c r="P33" s="57">
        <v>1.05</v>
      </c>
      <c r="AG33" s="57">
        <v>2.0819999999999999</v>
      </c>
      <c r="AH33" s="57">
        <v>0.95099999999999996</v>
      </c>
      <c r="AJ33" s="57">
        <v>2.8</v>
      </c>
      <c r="AM33" s="57">
        <v>3.0249999999999999</v>
      </c>
      <c r="AP33" s="57">
        <v>3.0249999999999999</v>
      </c>
      <c r="BE33" s="57">
        <v>2.2650000000000001</v>
      </c>
      <c r="BF33" s="57">
        <v>1.0780000000000001</v>
      </c>
    </row>
    <row r="34" spans="1:60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G34" s="57">
        <v>10</v>
      </c>
      <c r="H34" s="70">
        <v>44645</v>
      </c>
      <c r="I34" s="57">
        <v>0.91900000000000004</v>
      </c>
      <c r="J34" s="57">
        <v>0.91900000000000004</v>
      </c>
      <c r="L34" s="57">
        <v>1.0580000000000001</v>
      </c>
      <c r="M34" s="57">
        <v>1.0580000000000001</v>
      </c>
      <c r="O34" s="57">
        <v>1.0660000000000001</v>
      </c>
      <c r="P34" s="57">
        <v>1.0660000000000001</v>
      </c>
      <c r="R34" s="57">
        <v>1.085</v>
      </c>
      <c r="S34" s="57">
        <v>1.085</v>
      </c>
      <c r="AG34" s="57">
        <v>2.1640000000000001</v>
      </c>
      <c r="AH34" s="57">
        <v>0.98799999999999999</v>
      </c>
      <c r="AJ34" s="57">
        <v>3.55</v>
      </c>
      <c r="AM34" s="57">
        <v>3</v>
      </c>
      <c r="AP34" s="57">
        <v>3.0249999999999999</v>
      </c>
      <c r="AS34" s="57">
        <v>3.2</v>
      </c>
      <c r="BE34" s="57">
        <v>1.6950000000000001</v>
      </c>
      <c r="BF34" s="57">
        <v>0.84</v>
      </c>
    </row>
    <row r="35" spans="1:60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G35" s="57">
        <v>3</v>
      </c>
      <c r="H35" s="70">
        <v>44645</v>
      </c>
      <c r="I35" s="57">
        <v>0.4</v>
      </c>
      <c r="J35" s="57">
        <v>0.4</v>
      </c>
      <c r="L35" s="57">
        <v>0.4</v>
      </c>
      <c r="M35" s="57">
        <v>0.4</v>
      </c>
      <c r="O35" s="57">
        <v>0.3</v>
      </c>
      <c r="P35" s="57">
        <v>0.3</v>
      </c>
      <c r="R35" s="57">
        <v>0.45</v>
      </c>
      <c r="S35" s="57">
        <v>0.45</v>
      </c>
      <c r="AG35" s="57">
        <v>6.1550000000000002</v>
      </c>
      <c r="AH35" s="57">
        <v>3.5310000000000001</v>
      </c>
      <c r="AJ35" s="57">
        <v>2.35</v>
      </c>
      <c r="AM35" s="57">
        <v>1.7</v>
      </c>
      <c r="AP35" s="57">
        <v>1.9</v>
      </c>
      <c r="AS35" s="57">
        <v>2.2000000000000002</v>
      </c>
      <c r="BE35" s="57">
        <v>2.8029999999999999</v>
      </c>
      <c r="BF35" s="57">
        <v>1.597</v>
      </c>
      <c r="BH35" s="57" t="s">
        <v>283</v>
      </c>
    </row>
    <row r="36" spans="1:60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  <c r="G36" s="57">
        <v>6</v>
      </c>
    </row>
    <row r="37" spans="1:60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  <c r="G37" s="57">
        <v>6</v>
      </c>
    </row>
    <row r="38" spans="1:60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  <c r="G38" s="57">
        <v>5</v>
      </c>
    </row>
    <row r="39" spans="1:60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  <c r="G39" s="57">
        <v>4</v>
      </c>
    </row>
    <row r="40" spans="1:60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  <c r="G40" s="57">
        <v>5</v>
      </c>
    </row>
    <row r="41" spans="1:60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  <c r="G41" s="57">
        <v>5</v>
      </c>
    </row>
    <row r="42" spans="1:60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G42" s="57">
        <v>7</v>
      </c>
      <c r="H42" s="70">
        <v>44646</v>
      </c>
      <c r="I42" s="57">
        <v>1.2</v>
      </c>
      <c r="L42" s="57">
        <v>1.1499999999999999</v>
      </c>
      <c r="O42" s="57">
        <v>1.45</v>
      </c>
      <c r="R42" s="57">
        <v>1.2</v>
      </c>
      <c r="AG42" s="57">
        <v>1.254</v>
      </c>
      <c r="AH42" s="57">
        <v>0.4</v>
      </c>
      <c r="AJ42" s="57">
        <v>2.35</v>
      </c>
      <c r="AM42" s="57">
        <v>2.1</v>
      </c>
      <c r="AP42" s="57">
        <v>1.8</v>
      </c>
      <c r="AS42" s="57">
        <v>2.2570000000000001</v>
      </c>
      <c r="BE42" s="57">
        <v>0.96399999999999997</v>
      </c>
      <c r="BF42" s="57">
        <v>0.36299999999999999</v>
      </c>
    </row>
    <row r="43" spans="1:60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60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  <c r="G44" s="57">
        <v>5</v>
      </c>
    </row>
    <row r="45" spans="1:60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60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G46" s="57">
        <v>0</v>
      </c>
      <c r="H46" s="70">
        <v>44645</v>
      </c>
      <c r="I46" s="57">
        <v>3.1</v>
      </c>
      <c r="L46" s="57">
        <v>3.45</v>
      </c>
      <c r="O46" s="57">
        <v>1.8</v>
      </c>
      <c r="R46" s="57">
        <v>2.7</v>
      </c>
      <c r="AG46" s="57">
        <v>0.69399999999999995</v>
      </c>
      <c r="AH46" s="57">
        <v>0.39300000000000002</v>
      </c>
      <c r="AJ46" s="57">
        <v>1.85</v>
      </c>
      <c r="AM46" s="57">
        <v>2.0499999999999998</v>
      </c>
      <c r="AP46" s="57">
        <v>1.3</v>
      </c>
      <c r="AS46" s="57">
        <v>1.5</v>
      </c>
      <c r="AV46" s="57">
        <v>2.5</v>
      </c>
      <c r="AY46" s="57">
        <v>2.4</v>
      </c>
      <c r="BB46" s="57">
        <v>2.4500000000000002</v>
      </c>
    </row>
    <row r="47" spans="1:60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G47" s="57">
        <v>4</v>
      </c>
      <c r="H47" s="70">
        <v>44645</v>
      </c>
      <c r="I47" s="57">
        <v>2.2000000000000002</v>
      </c>
      <c r="L47" s="57">
        <v>1.55</v>
      </c>
      <c r="O47" s="57">
        <v>1.6</v>
      </c>
      <c r="AG47" s="57">
        <v>0.46700000000000003</v>
      </c>
      <c r="AH47" s="57">
        <v>0.17199999999999999</v>
      </c>
      <c r="AJ47" s="57">
        <v>2.9</v>
      </c>
      <c r="AM47" s="57">
        <v>2.9</v>
      </c>
      <c r="AP47" s="57">
        <v>3.3</v>
      </c>
      <c r="AS47" s="57">
        <v>2.35</v>
      </c>
      <c r="AV47" s="57">
        <v>2.35</v>
      </c>
      <c r="AY47" s="57">
        <v>2.2999999999999998</v>
      </c>
      <c r="BE47" s="57">
        <v>0.16600000000000001</v>
      </c>
      <c r="BF47" s="57">
        <v>7.5999999999999998E-2</v>
      </c>
      <c r="BH47" s="57" t="s">
        <v>282</v>
      </c>
    </row>
    <row r="48" spans="1:60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G48" s="57">
        <v>6</v>
      </c>
      <c r="H48" s="70">
        <v>44646</v>
      </c>
      <c r="I48" s="57">
        <v>1.1000000000000001</v>
      </c>
      <c r="L48" s="57">
        <v>1.5</v>
      </c>
      <c r="O48" s="57">
        <v>1</v>
      </c>
      <c r="AJ48" s="57">
        <v>2.4</v>
      </c>
      <c r="AM48" s="57">
        <v>2.5</v>
      </c>
      <c r="AP48" s="57">
        <v>2</v>
      </c>
      <c r="AS48" s="57">
        <v>2.35</v>
      </c>
    </row>
    <row r="49" spans="1:18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  <c r="G49" s="57">
        <v>6</v>
      </c>
    </row>
    <row r="50" spans="1:18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  <c r="G50" s="57">
        <v>6</v>
      </c>
    </row>
    <row r="51" spans="1:18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  <c r="G51" s="57">
        <v>4</v>
      </c>
    </row>
    <row r="52" spans="1:18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</row>
    <row r="53" spans="1:18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G53" s="57">
        <v>5</v>
      </c>
      <c r="H53" s="70">
        <v>44646</v>
      </c>
      <c r="I53" s="57">
        <v>1.05</v>
      </c>
      <c r="L53" s="57">
        <v>0.9</v>
      </c>
      <c r="O53" s="57">
        <v>1.4</v>
      </c>
      <c r="R53" s="57">
        <v>0.95</v>
      </c>
    </row>
    <row r="54" spans="1:18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  <c r="G54" s="57">
        <v>7</v>
      </c>
    </row>
    <row r="55" spans="1:18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  <c r="G55" s="57">
        <v>8</v>
      </c>
    </row>
    <row r="56" spans="1:18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  <c r="G56" s="57">
        <v>5</v>
      </c>
    </row>
    <row r="57" spans="1:18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  <c r="F57" s="57">
        <v>2</v>
      </c>
      <c r="G57" s="57">
        <v>5</v>
      </c>
    </row>
    <row r="58" spans="1:18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  <c r="G58" s="57">
        <v>5</v>
      </c>
    </row>
    <row r="59" spans="1:18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  <c r="G59" s="57">
        <v>0</v>
      </c>
    </row>
    <row r="60" spans="1:18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  <c r="G60" s="57">
        <v>7</v>
      </c>
    </row>
    <row r="61" spans="1:18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  <c r="G61" s="57">
        <v>6</v>
      </c>
    </row>
    <row r="62" spans="1:18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  <c r="G62" s="57">
        <v>7</v>
      </c>
    </row>
    <row r="63" spans="1:18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  <c r="G63" s="57">
        <v>6</v>
      </c>
    </row>
    <row r="64" spans="1:18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  <c r="G64" s="57">
        <v>4</v>
      </c>
    </row>
    <row r="65" spans="1:58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  <c r="G65" s="57">
        <v>7</v>
      </c>
    </row>
    <row r="66" spans="1:58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  <c r="G66" s="57">
        <v>5</v>
      </c>
    </row>
    <row r="67" spans="1:58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  <c r="G67" s="57">
        <v>0</v>
      </c>
    </row>
    <row r="68" spans="1:58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  <c r="G68" s="57">
        <v>5</v>
      </c>
    </row>
    <row r="69" spans="1:58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  <c r="G69" s="57">
        <v>7</v>
      </c>
    </row>
    <row r="70" spans="1:58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  <c r="G70" s="57">
        <v>7</v>
      </c>
    </row>
    <row r="71" spans="1:58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  <c r="G71" s="57">
        <v>6</v>
      </c>
    </row>
    <row r="72" spans="1:58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  <c r="G72" s="57">
        <v>2</v>
      </c>
    </row>
    <row r="73" spans="1:58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  <c r="G73" s="57">
        <v>7</v>
      </c>
    </row>
    <row r="74" spans="1:58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  <c r="G74" s="57">
        <v>7</v>
      </c>
    </row>
    <row r="75" spans="1:58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G75" s="57">
        <v>6</v>
      </c>
      <c r="H75" s="70">
        <v>44645</v>
      </c>
      <c r="I75" s="57">
        <v>1.9</v>
      </c>
      <c r="L75" s="57">
        <v>1.65</v>
      </c>
      <c r="O75" s="57">
        <v>1.75</v>
      </c>
      <c r="AG75" s="57">
        <v>2.0270000000000001</v>
      </c>
      <c r="AH75" s="57">
        <v>1.2230000000000001</v>
      </c>
      <c r="AJ75" s="57">
        <v>2.75</v>
      </c>
      <c r="AM75" s="57">
        <v>2.2999999999999998</v>
      </c>
      <c r="AP75" s="57">
        <v>2.1</v>
      </c>
      <c r="AR75" s="57">
        <v>2.2999999999999998</v>
      </c>
      <c r="BE75" s="57">
        <v>1.0860000000000001</v>
      </c>
      <c r="BF75" s="57">
        <v>0.64700000000000002</v>
      </c>
    </row>
    <row r="76" spans="1:58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  <c r="G76" s="57">
        <v>7</v>
      </c>
    </row>
    <row r="77" spans="1:58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  <c r="G77" s="57">
        <v>4</v>
      </c>
    </row>
    <row r="78" spans="1:58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  <c r="G78" s="57">
        <v>4</v>
      </c>
    </row>
    <row r="79" spans="1:58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  <c r="G79" s="57">
        <v>4</v>
      </c>
    </row>
    <row r="80" spans="1:58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  <c r="G80" s="57">
        <v>5</v>
      </c>
    </row>
    <row r="81" spans="1:58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58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G82" s="57">
        <v>0</v>
      </c>
      <c r="H82" s="70">
        <v>44645</v>
      </c>
      <c r="I82" s="57">
        <v>0.95</v>
      </c>
      <c r="L82" s="57">
        <v>0.77500000000000002</v>
      </c>
      <c r="O82" s="57">
        <v>0.9</v>
      </c>
      <c r="AG82" s="57">
        <v>2.2999999999999998</v>
      </c>
      <c r="AH82" s="57">
        <v>1.3129999999999999</v>
      </c>
      <c r="AJ82" s="57">
        <v>2.6</v>
      </c>
      <c r="AM82" s="57">
        <v>2.95</v>
      </c>
      <c r="AP82" s="57">
        <v>3.7</v>
      </c>
      <c r="AS82" s="57">
        <v>3.2</v>
      </c>
      <c r="AV82" s="57">
        <v>2.4</v>
      </c>
      <c r="BE82" s="57">
        <v>1.3560000000000001</v>
      </c>
      <c r="BF82" s="57">
        <v>0.78100000000000003</v>
      </c>
    </row>
    <row r="83" spans="1:58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  <c r="G83" s="57">
        <v>4</v>
      </c>
    </row>
    <row r="84" spans="1:58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  <c r="G84" s="57">
        <v>3</v>
      </c>
    </row>
    <row r="85" spans="1:58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  <c r="G85" s="57">
        <v>2</v>
      </c>
    </row>
    <row r="86" spans="1:58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  <c r="G86" s="57">
        <v>4</v>
      </c>
    </row>
    <row r="87" spans="1:58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  <c r="G87" s="57">
        <v>6</v>
      </c>
    </row>
    <row r="88" spans="1:58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  <c r="G88" s="57">
        <v>7</v>
      </c>
    </row>
    <row r="89" spans="1:58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  <c r="G89" s="57">
        <v>3</v>
      </c>
    </row>
    <row r="90" spans="1:58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  <c r="G90" s="57">
        <v>4</v>
      </c>
    </row>
    <row r="91" spans="1:58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G91" s="57">
        <v>3</v>
      </c>
      <c r="H91" s="70">
        <v>44646</v>
      </c>
      <c r="I91" s="57">
        <v>1.1499999999999999</v>
      </c>
      <c r="L91" s="57">
        <v>1.35</v>
      </c>
      <c r="O91" s="57">
        <v>1.25</v>
      </c>
    </row>
    <row r="92" spans="1:58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G92" s="57">
        <v>5</v>
      </c>
      <c r="H92" s="70">
        <v>44645</v>
      </c>
      <c r="I92" s="57">
        <v>1.3</v>
      </c>
      <c r="L92" s="57">
        <v>1.2</v>
      </c>
      <c r="O92" s="57">
        <v>0.95</v>
      </c>
      <c r="AG92" s="57">
        <v>0.30199999999999999</v>
      </c>
      <c r="AH92" s="57">
        <v>9.5000000000000001E-2</v>
      </c>
    </row>
    <row r="93" spans="1:58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G93" s="57">
        <v>7</v>
      </c>
      <c r="H93" s="70">
        <v>44645</v>
      </c>
      <c r="I93" s="57">
        <v>1.65</v>
      </c>
      <c r="L93" s="57">
        <v>1.8</v>
      </c>
      <c r="O93" s="57">
        <v>1.8</v>
      </c>
      <c r="AG93" s="57">
        <v>0.89200000000000002</v>
      </c>
      <c r="AH93" s="57">
        <v>0.29899999999999999</v>
      </c>
      <c r="AJ93" s="57">
        <v>2.1</v>
      </c>
      <c r="AM93" s="57">
        <v>1.6</v>
      </c>
      <c r="AP93" s="57">
        <v>1.85</v>
      </c>
      <c r="AS93" s="57">
        <v>1.9</v>
      </c>
      <c r="AV93" s="57">
        <v>1.9</v>
      </c>
    </row>
    <row r="94" spans="1:58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  <c r="G94" s="57">
        <v>5</v>
      </c>
      <c r="H94" s="70">
        <v>44645</v>
      </c>
      <c r="I94" s="57">
        <v>0.95</v>
      </c>
      <c r="L94" s="57">
        <v>1.0249999999999999</v>
      </c>
      <c r="O94" s="57">
        <v>1.1499999999999999</v>
      </c>
      <c r="AG94" s="57">
        <v>1.0740000000000001</v>
      </c>
      <c r="AH94" s="57">
        <v>0.33300000000000002</v>
      </c>
    </row>
    <row r="95" spans="1:58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58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58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58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58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58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58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58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58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58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58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58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58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G107" s="57">
        <v>10</v>
      </c>
      <c r="H107" s="70">
        <v>44645</v>
      </c>
      <c r="I107" s="57">
        <v>0.40799999999999997</v>
      </c>
      <c r="J107" s="57">
        <v>0.40799999999999997</v>
      </c>
      <c r="L107" s="57">
        <v>0.48199999999999998</v>
      </c>
      <c r="M107" s="57">
        <v>0.48199999999999998</v>
      </c>
      <c r="O107" s="57">
        <v>0.42199999999999999</v>
      </c>
      <c r="P107" s="57">
        <v>0.42199999999999999</v>
      </c>
      <c r="AG107" s="57">
        <v>1.254</v>
      </c>
      <c r="AH107" s="57">
        <v>0.54500000000000004</v>
      </c>
      <c r="AJ107" s="57">
        <v>2.35</v>
      </c>
      <c r="AM107" s="57">
        <v>2.5</v>
      </c>
      <c r="AP107" s="57">
        <v>2.15</v>
      </c>
      <c r="BE107" s="57">
        <v>0.74399999999999999</v>
      </c>
      <c r="BF107" s="57">
        <v>0.33900000000000002</v>
      </c>
    </row>
    <row r="108" spans="1:58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58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58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G110" s="57">
        <v>10</v>
      </c>
      <c r="H110" s="70">
        <v>44645</v>
      </c>
      <c r="I110" s="57">
        <v>0.93600000000000005</v>
      </c>
      <c r="J110" s="57">
        <v>0.93600000000000005</v>
      </c>
      <c r="L110" s="57">
        <v>0.96599999999999997</v>
      </c>
      <c r="M110" s="57">
        <v>0.96599999999999997</v>
      </c>
      <c r="O110" s="57">
        <v>0.97199999999999998</v>
      </c>
      <c r="P110" s="57">
        <v>0.97199999999999998</v>
      </c>
      <c r="AG110" s="57">
        <v>3.2509999999999999</v>
      </c>
      <c r="AH110" s="57">
        <v>1.4770000000000001</v>
      </c>
      <c r="AJ110" s="57">
        <v>2.9</v>
      </c>
      <c r="AM110" s="57">
        <v>3.3</v>
      </c>
      <c r="AP110" s="57">
        <v>2.6</v>
      </c>
      <c r="AS110" s="57">
        <v>1.9</v>
      </c>
      <c r="AV110" s="57">
        <v>2.5</v>
      </c>
      <c r="AY110" s="57">
        <v>3.15</v>
      </c>
      <c r="BB110" s="57">
        <v>2.5499999999999998</v>
      </c>
    </row>
    <row r="111" spans="1:58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G111" s="57">
        <v>10</v>
      </c>
      <c r="H111" s="70">
        <v>44645</v>
      </c>
      <c r="I111" s="57">
        <v>0.67300000000000004</v>
      </c>
      <c r="J111" s="57">
        <v>0.67300000000000004</v>
      </c>
      <c r="L111" s="57">
        <v>0.624</v>
      </c>
      <c r="M111" s="57">
        <v>0.624</v>
      </c>
      <c r="O111" s="57">
        <v>0.64100000000000001</v>
      </c>
      <c r="P111" s="57">
        <v>0.64100000000000001</v>
      </c>
      <c r="AG111" s="57">
        <v>3.7189999999999999</v>
      </c>
      <c r="AH111" s="57">
        <v>1.718</v>
      </c>
    </row>
    <row r="112" spans="1:58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G112" s="57">
        <v>10</v>
      </c>
      <c r="H112" s="70">
        <v>44645</v>
      </c>
      <c r="I112" s="57">
        <v>0.82799999999999996</v>
      </c>
      <c r="J112" s="57">
        <v>0.82799999999999996</v>
      </c>
      <c r="L112" s="57">
        <v>0.57399999999999995</v>
      </c>
      <c r="M112" s="57">
        <v>0.57399999999999995</v>
      </c>
      <c r="O112" s="57">
        <v>0.63300000000000001</v>
      </c>
      <c r="P112" s="57">
        <v>0.63300000000000001</v>
      </c>
      <c r="R112" s="57">
        <v>0.68200000000000005</v>
      </c>
      <c r="S112" s="57">
        <v>0.68200000000000005</v>
      </c>
      <c r="AG112" s="57">
        <v>1.2869999999999999</v>
      </c>
      <c r="AH112" s="57">
        <v>0.59</v>
      </c>
      <c r="AJ112" s="57">
        <v>2.6</v>
      </c>
      <c r="AM112" s="57">
        <v>2.5499999999999998</v>
      </c>
      <c r="AP112" s="57">
        <v>2.8</v>
      </c>
      <c r="AS112" s="57">
        <v>2.1</v>
      </c>
      <c r="AV112" s="57">
        <v>2.5</v>
      </c>
    </row>
    <row r="113" spans="1:5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</row>
    <row r="114" spans="1:5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</row>
    <row r="115" spans="1:5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</row>
    <row r="116" spans="1:5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</row>
    <row r="117" spans="1:5" x14ac:dyDescent="0.2">
      <c r="A117" s="57" t="s">
        <v>134</v>
      </c>
      <c r="B117" s="76" t="s">
        <v>135</v>
      </c>
      <c r="C117" s="57" t="s">
        <v>134</v>
      </c>
      <c r="D117" s="54" t="s">
        <v>137</v>
      </c>
      <c r="E117" s="57" t="s">
        <v>141</v>
      </c>
    </row>
    <row r="118" spans="1:5" x14ac:dyDescent="0.2">
      <c r="A118" s="57" t="s">
        <v>139</v>
      </c>
      <c r="B118" s="76" t="s">
        <v>139</v>
      </c>
      <c r="C118" s="57" t="s">
        <v>139</v>
      </c>
      <c r="D118" s="54" t="s">
        <v>142</v>
      </c>
      <c r="E118" s="57" t="s">
        <v>144</v>
      </c>
    </row>
    <row r="119" spans="1:5" x14ac:dyDescent="0.2">
      <c r="A119" s="57" t="s">
        <v>134</v>
      </c>
      <c r="B119" s="76" t="s">
        <v>135</v>
      </c>
      <c r="C119" s="57" t="s">
        <v>134</v>
      </c>
      <c r="D119" s="54" t="s">
        <v>142</v>
      </c>
      <c r="E119" s="57" t="s">
        <v>145</v>
      </c>
    </row>
    <row r="120" spans="1:5" x14ac:dyDescent="0.2">
      <c r="A120" s="57" t="s">
        <v>127</v>
      </c>
      <c r="B120" s="76" t="s">
        <v>146</v>
      </c>
      <c r="C120" s="57" t="s">
        <v>262</v>
      </c>
      <c r="D120" s="54" t="s">
        <v>58</v>
      </c>
      <c r="E120" s="57">
        <v>2093</v>
      </c>
    </row>
    <row r="121" spans="1:5" x14ac:dyDescent="0.2">
      <c r="A121" s="57" t="s">
        <v>127</v>
      </c>
      <c r="B121" s="76" t="s">
        <v>146</v>
      </c>
      <c r="C121" s="57" t="s">
        <v>262</v>
      </c>
      <c r="D121" s="54" t="s">
        <v>58</v>
      </c>
      <c r="E121" s="57">
        <v>2092</v>
      </c>
    </row>
    <row r="122" spans="1:5" x14ac:dyDescent="0.2">
      <c r="A122" s="57" t="s">
        <v>127</v>
      </c>
      <c r="B122" s="76" t="s">
        <v>146</v>
      </c>
      <c r="C122" s="57" t="s">
        <v>262</v>
      </c>
      <c r="D122" s="54" t="s">
        <v>58</v>
      </c>
      <c r="E122" s="57">
        <v>2091</v>
      </c>
    </row>
    <row r="123" spans="1:5" x14ac:dyDescent="0.2">
      <c r="A123" s="57" t="s">
        <v>127</v>
      </c>
      <c r="B123" s="76" t="s">
        <v>146</v>
      </c>
      <c r="C123" s="57" t="s">
        <v>262</v>
      </c>
      <c r="D123" s="54" t="s">
        <v>64</v>
      </c>
      <c r="E123" s="57">
        <v>2090</v>
      </c>
    </row>
    <row r="124" spans="1:5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2089</v>
      </c>
    </row>
    <row r="125" spans="1:5" x14ac:dyDescent="0.2">
      <c r="A125" s="57" t="s">
        <v>127</v>
      </c>
      <c r="B125" s="76" t="s">
        <v>146</v>
      </c>
      <c r="C125" s="57" t="s">
        <v>262</v>
      </c>
      <c r="D125" s="54" t="s">
        <v>64</v>
      </c>
      <c r="E125" s="57">
        <v>2088</v>
      </c>
    </row>
    <row r="126" spans="1:5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2087</v>
      </c>
    </row>
    <row r="127" spans="1:5" x14ac:dyDescent="0.2">
      <c r="A127" s="57" t="s">
        <v>127</v>
      </c>
      <c r="B127" s="76" t="s">
        <v>146</v>
      </c>
      <c r="C127" s="57" t="s">
        <v>262</v>
      </c>
      <c r="D127" s="54" t="s">
        <v>64</v>
      </c>
      <c r="E127" s="57">
        <v>2086</v>
      </c>
    </row>
    <row r="128" spans="1:5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2085</v>
      </c>
    </row>
    <row r="129" spans="1:5" x14ac:dyDescent="0.2">
      <c r="A129" s="57" t="s">
        <v>139</v>
      </c>
      <c r="B129" s="76" t="s">
        <v>139</v>
      </c>
      <c r="C129" s="57" t="s">
        <v>139</v>
      </c>
      <c r="D129" s="54" t="s">
        <v>64</v>
      </c>
      <c r="E129" s="57">
        <v>2020</v>
      </c>
    </row>
    <row r="130" spans="1:5" x14ac:dyDescent="0.2">
      <c r="A130" s="57" t="s">
        <v>139</v>
      </c>
      <c r="B130" s="76" t="s">
        <v>139</v>
      </c>
      <c r="C130" s="57" t="s">
        <v>139</v>
      </c>
      <c r="D130" s="54" t="s">
        <v>64</v>
      </c>
      <c r="E130" s="57">
        <v>2021</v>
      </c>
    </row>
    <row r="131" spans="1:5" x14ac:dyDescent="0.2">
      <c r="A131" s="57" t="s">
        <v>139</v>
      </c>
      <c r="B131" s="76" t="s">
        <v>139</v>
      </c>
      <c r="C131" s="57" t="s">
        <v>139</v>
      </c>
      <c r="D131" s="54" t="s">
        <v>58</v>
      </c>
      <c r="E131" s="57">
        <v>2022</v>
      </c>
    </row>
    <row r="132" spans="1:5" x14ac:dyDescent="0.2">
      <c r="A132" s="57" t="s">
        <v>139</v>
      </c>
      <c r="B132" s="76" t="s">
        <v>139</v>
      </c>
      <c r="C132" s="57" t="s">
        <v>139</v>
      </c>
      <c r="D132" s="54" t="s">
        <v>58</v>
      </c>
      <c r="E132" s="57">
        <v>2023</v>
      </c>
    </row>
    <row r="133" spans="1:5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2024</v>
      </c>
    </row>
    <row r="134" spans="1:5" x14ac:dyDescent="0.2">
      <c r="A134" s="57" t="s">
        <v>139</v>
      </c>
      <c r="B134" s="76" t="s">
        <v>139</v>
      </c>
      <c r="C134" s="57" t="s">
        <v>139</v>
      </c>
      <c r="D134" s="54" t="s">
        <v>64</v>
      </c>
      <c r="E134" s="57">
        <v>2025</v>
      </c>
    </row>
    <row r="135" spans="1:5" x14ac:dyDescent="0.2">
      <c r="A135" s="57" t="s">
        <v>139</v>
      </c>
      <c r="B135" s="76" t="s">
        <v>147</v>
      </c>
      <c r="C135" s="57" t="s">
        <v>263</v>
      </c>
      <c r="D135" s="54" t="s">
        <v>64</v>
      </c>
      <c r="E135" s="57">
        <v>2026</v>
      </c>
    </row>
    <row r="136" spans="1:5" x14ac:dyDescent="0.2">
      <c r="A136" s="57" t="s">
        <v>139</v>
      </c>
      <c r="B136" s="76" t="s">
        <v>147</v>
      </c>
      <c r="C136" s="57" t="s">
        <v>263</v>
      </c>
      <c r="D136" s="54" t="s">
        <v>64</v>
      </c>
      <c r="E136" s="57">
        <v>2027</v>
      </c>
    </row>
    <row r="137" spans="1:5" x14ac:dyDescent="0.2">
      <c r="A137" s="57" t="s">
        <v>139</v>
      </c>
      <c r="B137" s="76" t="s">
        <v>147</v>
      </c>
      <c r="C137" s="57" t="s">
        <v>263</v>
      </c>
      <c r="D137" s="54" t="s">
        <v>64</v>
      </c>
      <c r="E137" s="57">
        <v>2028</v>
      </c>
    </row>
    <row r="138" spans="1:5" x14ac:dyDescent="0.2">
      <c r="A138" s="57" t="s">
        <v>139</v>
      </c>
      <c r="B138" s="76" t="s">
        <v>147</v>
      </c>
      <c r="C138" s="57" t="s">
        <v>263</v>
      </c>
      <c r="D138" s="54" t="s">
        <v>58</v>
      </c>
      <c r="E138" s="57">
        <v>2029</v>
      </c>
    </row>
    <row r="139" spans="1:5" x14ac:dyDescent="0.2">
      <c r="A139" s="57" t="s">
        <v>139</v>
      </c>
      <c r="B139" s="76" t="s">
        <v>147</v>
      </c>
      <c r="C139" s="57" t="s">
        <v>263</v>
      </c>
      <c r="D139" s="54" t="s">
        <v>58</v>
      </c>
      <c r="E139" s="57">
        <v>2030</v>
      </c>
    </row>
    <row r="140" spans="1:5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2031</v>
      </c>
    </row>
    <row r="141" spans="1:5" x14ac:dyDescent="0.2">
      <c r="A141" s="57" t="s">
        <v>134</v>
      </c>
      <c r="B141" s="76" t="s">
        <v>146</v>
      </c>
      <c r="C141" s="57" t="s">
        <v>264</v>
      </c>
      <c r="D141" s="54" t="s">
        <v>64</v>
      </c>
      <c r="E141" s="57">
        <v>2012</v>
      </c>
    </row>
    <row r="142" spans="1:5" x14ac:dyDescent="0.2">
      <c r="A142" s="57" t="s">
        <v>134</v>
      </c>
      <c r="B142" s="76" t="s">
        <v>146</v>
      </c>
      <c r="C142" s="57" t="s">
        <v>264</v>
      </c>
      <c r="D142" s="54" t="s">
        <v>64</v>
      </c>
      <c r="E142" s="57">
        <v>2013</v>
      </c>
    </row>
    <row r="143" spans="1:5" x14ac:dyDescent="0.2">
      <c r="A143" s="57" t="s">
        <v>134</v>
      </c>
      <c r="B143" s="76" t="s">
        <v>146</v>
      </c>
      <c r="C143" s="57" t="s">
        <v>264</v>
      </c>
      <c r="D143" s="54" t="s">
        <v>64</v>
      </c>
      <c r="E143" s="57">
        <v>2014</v>
      </c>
    </row>
    <row r="144" spans="1:5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2015</v>
      </c>
    </row>
    <row r="145" spans="1:60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1478</v>
      </c>
    </row>
    <row r="146" spans="1:60" x14ac:dyDescent="0.2">
      <c r="A146" s="57" t="s">
        <v>114</v>
      </c>
      <c r="B146" s="76" t="s">
        <v>131</v>
      </c>
      <c r="C146" s="57" t="s">
        <v>266</v>
      </c>
      <c r="D146" s="54" t="s">
        <v>64</v>
      </c>
      <c r="E146" s="57">
        <v>2009</v>
      </c>
      <c r="G146" s="57">
        <v>8</v>
      </c>
      <c r="H146" s="70">
        <v>44645</v>
      </c>
      <c r="I146" s="57">
        <v>1.25</v>
      </c>
      <c r="L146" s="57">
        <v>1.1000000000000001</v>
      </c>
      <c r="O146" s="57">
        <v>1.45</v>
      </c>
      <c r="AG146" s="57">
        <v>3.2280000000000002</v>
      </c>
      <c r="AH146" s="57">
        <v>1.395</v>
      </c>
      <c r="AJ146" s="57">
        <v>2.15</v>
      </c>
      <c r="AM146" s="57">
        <v>1.95</v>
      </c>
      <c r="AP146" s="57">
        <v>1.9</v>
      </c>
      <c r="AS146" s="57">
        <v>2.25</v>
      </c>
      <c r="BE146" s="57">
        <v>0.60799999999999998</v>
      </c>
      <c r="BF146" s="57">
        <v>0.28499999999999998</v>
      </c>
    </row>
    <row r="147" spans="1:60" x14ac:dyDescent="0.2">
      <c r="A147" s="57" t="s">
        <v>114</v>
      </c>
      <c r="B147" s="76" t="s">
        <v>133</v>
      </c>
      <c r="C147" s="57" t="s">
        <v>265</v>
      </c>
      <c r="D147" s="54" t="s">
        <v>64</v>
      </c>
      <c r="E147" s="57">
        <v>2010</v>
      </c>
      <c r="G147" s="57">
        <v>10</v>
      </c>
      <c r="H147" s="70">
        <v>44645</v>
      </c>
      <c r="I147" s="57">
        <v>1.65</v>
      </c>
      <c r="L147" s="57">
        <v>1.2</v>
      </c>
      <c r="O147" s="57">
        <v>1.6</v>
      </c>
      <c r="R147" s="57">
        <v>1.5</v>
      </c>
      <c r="AG147" s="57">
        <v>0.42599999999999999</v>
      </c>
      <c r="AH147" s="57">
        <v>0.129</v>
      </c>
      <c r="AJ147" s="57">
        <v>2.0499999999999998</v>
      </c>
      <c r="AM147" s="57">
        <v>1.9</v>
      </c>
      <c r="AP147" s="57">
        <v>1.93</v>
      </c>
      <c r="BH147" s="57" t="s">
        <v>282</v>
      </c>
    </row>
    <row r="148" spans="1:60" x14ac:dyDescent="0.2">
      <c r="D148" s="3"/>
      <c r="BE148" s="57">
        <v>0.66500000000000004</v>
      </c>
      <c r="BF148" s="57">
        <v>0.193</v>
      </c>
    </row>
    <row r="149" spans="1:60" x14ac:dyDescent="0.2">
      <c r="D149" s="3"/>
    </row>
    <row r="150" spans="1:60" x14ac:dyDescent="0.2">
      <c r="D150" s="3"/>
    </row>
    <row r="151" spans="1:60" x14ac:dyDescent="0.2">
      <c r="D151" s="3"/>
    </row>
    <row r="152" spans="1:60" x14ac:dyDescent="0.2">
      <c r="D152" s="3"/>
    </row>
    <row r="153" spans="1:60" x14ac:dyDescent="0.2">
      <c r="D153" s="3"/>
    </row>
    <row r="154" spans="1:60" x14ac:dyDescent="0.2">
      <c r="D154" s="3"/>
    </row>
    <row r="155" spans="1:60" x14ac:dyDescent="0.2">
      <c r="D155" s="3"/>
    </row>
    <row r="156" spans="1:60" x14ac:dyDescent="0.2">
      <c r="D156" s="3"/>
    </row>
    <row r="157" spans="1:60" x14ac:dyDescent="0.2">
      <c r="D157" s="3"/>
    </row>
    <row r="158" spans="1:60" x14ac:dyDescent="0.2">
      <c r="D158" s="3"/>
    </row>
    <row r="159" spans="1:60" x14ac:dyDescent="0.2">
      <c r="D159" s="3"/>
    </row>
    <row r="160" spans="1:60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H305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0" x14ac:dyDescent="0.2">
      <c r="C1" s="74" t="s">
        <v>207</v>
      </c>
      <c r="D1" s="1"/>
      <c r="E1" s="1"/>
    </row>
    <row r="3" spans="1:60" x14ac:dyDescent="0.2">
      <c r="C3" s="12" t="s">
        <v>1</v>
      </c>
      <c r="D3" s="38" t="s">
        <v>208</v>
      </c>
      <c r="E3" s="12"/>
    </row>
    <row r="4" spans="1:60" x14ac:dyDescent="0.2">
      <c r="C4" s="12" t="s">
        <v>3</v>
      </c>
      <c r="D4" s="77">
        <v>44650</v>
      </c>
    </row>
    <row r="6" spans="1:60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</row>
    <row r="7" spans="1:60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I7" s="57">
        <v>0.69</v>
      </c>
      <c r="J7" s="57">
        <v>0.52580000000000005</v>
      </c>
      <c r="L7" s="57">
        <v>1.34</v>
      </c>
      <c r="M7" s="57">
        <v>0.88770000000000004</v>
      </c>
      <c r="O7" s="57">
        <v>0.60899999999999999</v>
      </c>
      <c r="P7" s="57">
        <v>0.67820000000000003</v>
      </c>
      <c r="R7" s="57">
        <v>0.52</v>
      </c>
      <c r="AG7" s="57">
        <v>1.373</v>
      </c>
      <c r="AH7" s="57">
        <v>0.88200000000000001</v>
      </c>
    </row>
    <row r="8" spans="1:60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</row>
    <row r="9" spans="1:60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I9" s="57">
        <v>0.748</v>
      </c>
      <c r="J9" s="57">
        <v>2.6446000000000001</v>
      </c>
      <c r="L9" s="57">
        <v>0.87</v>
      </c>
      <c r="M9" s="57">
        <v>3.0135000000000001</v>
      </c>
      <c r="O9" s="57">
        <v>0.55400000000000005</v>
      </c>
      <c r="P9" s="57">
        <v>1.3947000000000001</v>
      </c>
      <c r="R9" s="57">
        <v>0.89</v>
      </c>
      <c r="U9" s="57">
        <v>1.02</v>
      </c>
      <c r="AG9" s="57">
        <v>1.3441000000000001</v>
      </c>
      <c r="AH9" s="57">
        <v>0.66900000000000004</v>
      </c>
    </row>
    <row r="10" spans="1:60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</row>
    <row r="11" spans="1:60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0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</row>
    <row r="13" spans="1:60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</row>
    <row r="14" spans="1:60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0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</row>
    <row r="16" spans="1:60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</row>
    <row r="17" spans="1:34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34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I18" s="57">
        <v>1.214</v>
      </c>
      <c r="J18" s="57">
        <v>1.0327999999999999</v>
      </c>
      <c r="L18" s="57">
        <v>0.97</v>
      </c>
      <c r="M18" s="57">
        <v>0.92879999999999996</v>
      </c>
      <c r="O18" s="57">
        <v>1.06</v>
      </c>
      <c r="P18" s="57">
        <v>1.2667999999999999</v>
      </c>
      <c r="AG18" s="57">
        <v>1.5724</v>
      </c>
      <c r="AH18" s="57">
        <v>0.75700000000000001</v>
      </c>
    </row>
    <row r="19" spans="1:34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</row>
    <row r="20" spans="1:34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34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</row>
    <row r="22" spans="1:34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</row>
    <row r="23" spans="1:34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  <c r="J23" s="57">
        <v>0.43209999999999998</v>
      </c>
      <c r="M23" s="57">
        <v>1.1874</v>
      </c>
      <c r="P23" s="57">
        <v>0.99580000000000002</v>
      </c>
    </row>
    <row r="24" spans="1:34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I24" s="57">
        <v>1.03</v>
      </c>
      <c r="L24" s="57">
        <v>1.1200000000000001</v>
      </c>
      <c r="O24" s="57">
        <v>1.1599999999999999</v>
      </c>
      <c r="AG24" s="57">
        <v>0.82709999999999995</v>
      </c>
      <c r="AH24" s="57">
        <v>0.39300000000000002</v>
      </c>
    </row>
    <row r="25" spans="1:34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</row>
    <row r="26" spans="1:34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34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I27" s="57">
        <v>1.1100000000000001</v>
      </c>
      <c r="J27" s="33">
        <f>0.161+1.5393</f>
        <v>1.7002999999999999</v>
      </c>
      <c r="L27" s="57">
        <v>1.1100000000000001</v>
      </c>
      <c r="M27" s="57">
        <v>0.94520000000000004</v>
      </c>
      <c r="P27" s="57">
        <v>0.74709999999999999</v>
      </c>
      <c r="AG27" s="57">
        <v>1.258</v>
      </c>
      <c r="AH27" s="57">
        <v>0.58099999999999996</v>
      </c>
    </row>
    <row r="28" spans="1:34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34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34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I30" s="57">
        <v>1.21</v>
      </c>
      <c r="J30" s="57">
        <v>0.97</v>
      </c>
      <c r="L30" s="57">
        <v>0.98</v>
      </c>
      <c r="M30" s="57">
        <v>0.48199999999999998</v>
      </c>
      <c r="O30" s="57">
        <v>0.93</v>
      </c>
      <c r="P30" s="57">
        <v>0.44990000000000002</v>
      </c>
      <c r="R30" s="57">
        <v>1.06</v>
      </c>
      <c r="AG30" s="57">
        <v>0.8397</v>
      </c>
      <c r="AH30" s="57">
        <v>0.4</v>
      </c>
    </row>
    <row r="31" spans="1:34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I31" s="57">
        <v>0.25</v>
      </c>
      <c r="J31" s="57">
        <v>3.3447</v>
      </c>
      <c r="L31" s="57">
        <v>0.35</v>
      </c>
      <c r="M31" s="57">
        <v>0.61539999999999995</v>
      </c>
      <c r="O31" s="57">
        <v>0.25</v>
      </c>
      <c r="P31" s="57">
        <v>1.4186000000000001</v>
      </c>
      <c r="AG31" s="57">
        <v>2.8144</v>
      </c>
      <c r="AH31" s="57">
        <v>1.7250000000000001</v>
      </c>
    </row>
    <row r="32" spans="1:34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I32" s="57">
        <v>0.22</v>
      </c>
      <c r="J32" s="57">
        <v>0.92630000000000001</v>
      </c>
      <c r="L32" s="57">
        <v>0.3</v>
      </c>
      <c r="M32" s="57">
        <v>0.67559999999999998</v>
      </c>
      <c r="O32" s="57">
        <v>0.21</v>
      </c>
      <c r="P32" s="57">
        <v>1.7253000000000001</v>
      </c>
      <c r="AG32" s="33">
        <f>2.259-0.3092</f>
        <v>1.9498</v>
      </c>
      <c r="AH32" s="57">
        <v>1.2509999999999999</v>
      </c>
    </row>
    <row r="33" spans="1:34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I33" s="57">
        <v>0.63</v>
      </c>
      <c r="J33" s="57">
        <v>0.91520000000000001</v>
      </c>
      <c r="L33" s="57">
        <v>0.55000000000000004</v>
      </c>
      <c r="M33" s="57">
        <v>1.1207</v>
      </c>
      <c r="O33" s="57">
        <v>0.55000000000000004</v>
      </c>
      <c r="P33" s="57">
        <v>0.27300000000000002</v>
      </c>
      <c r="R33" s="57">
        <v>0.61</v>
      </c>
      <c r="AG33" s="57">
        <v>1.4117999999999999</v>
      </c>
      <c r="AH33" s="57">
        <v>0.69699999999999995</v>
      </c>
    </row>
    <row r="34" spans="1:34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I34" s="57">
        <v>0.6</v>
      </c>
      <c r="J34" s="57">
        <v>0.2175</v>
      </c>
      <c r="L34" s="57">
        <v>0.45</v>
      </c>
      <c r="M34" s="57">
        <v>0.46870000000000001</v>
      </c>
      <c r="O34" s="57">
        <v>0.55000000000000004</v>
      </c>
      <c r="P34" s="57">
        <v>0.50760000000000005</v>
      </c>
      <c r="R34" s="57">
        <v>0.4</v>
      </c>
      <c r="U34" s="57">
        <v>0.55000000000000004</v>
      </c>
      <c r="AG34" s="57">
        <v>1.5152000000000001</v>
      </c>
      <c r="AH34" s="57">
        <v>0.75600000000000001</v>
      </c>
    </row>
    <row r="35" spans="1:34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I35" s="57">
        <v>0.27100000000000002</v>
      </c>
      <c r="J35" s="57">
        <v>0.74209999999999998</v>
      </c>
      <c r="L35" s="57">
        <v>0.36099999999999999</v>
      </c>
      <c r="M35" s="57">
        <v>2.6938</v>
      </c>
      <c r="O35" s="57">
        <v>0.24099999999999999</v>
      </c>
      <c r="P35" s="57">
        <v>2.1783000000000001</v>
      </c>
      <c r="R35" s="57">
        <v>0.183</v>
      </c>
      <c r="U35" s="57">
        <v>1.1759999999999999</v>
      </c>
      <c r="AG35" s="57">
        <v>1.7382</v>
      </c>
      <c r="AH35" s="57">
        <v>1.073</v>
      </c>
    </row>
    <row r="36" spans="1:34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</row>
    <row r="37" spans="1:34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</row>
    <row r="38" spans="1:34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</row>
    <row r="39" spans="1:34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</row>
    <row r="40" spans="1:34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</row>
    <row r="41" spans="1:34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</row>
    <row r="42" spans="1:34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I42" s="57">
        <v>0.8</v>
      </c>
      <c r="J42" s="57">
        <v>0.7177</v>
      </c>
      <c r="L42" s="57">
        <v>1.05</v>
      </c>
      <c r="M42" s="57">
        <v>1.4125000000000001</v>
      </c>
      <c r="O42" s="57">
        <v>0.87</v>
      </c>
      <c r="P42" s="57">
        <v>0.3604</v>
      </c>
      <c r="AG42" s="57">
        <v>1.1816</v>
      </c>
      <c r="AH42" s="57">
        <v>0.47799999999999998</v>
      </c>
    </row>
    <row r="43" spans="1:34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34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</row>
    <row r="45" spans="1:34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34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I46" s="57">
        <v>0.23</v>
      </c>
      <c r="J46" s="57">
        <v>2.1682999999999999</v>
      </c>
      <c r="L46" s="57">
        <v>0.215</v>
      </c>
      <c r="M46" s="57">
        <v>2.4946999999999999</v>
      </c>
      <c r="P46" s="57">
        <v>1.72</v>
      </c>
      <c r="AG46" s="57">
        <v>0.3836</v>
      </c>
      <c r="AH46" s="57">
        <v>0.23200000000000001</v>
      </c>
    </row>
    <row r="47" spans="1:34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I47" s="57">
        <v>1.1000000000000001</v>
      </c>
      <c r="J47" s="57">
        <v>0.59319999999999995</v>
      </c>
      <c r="L47" s="57">
        <v>1</v>
      </c>
      <c r="M47" s="57">
        <v>0.25590000000000002</v>
      </c>
      <c r="O47" s="57">
        <v>1.1000000000000001</v>
      </c>
      <c r="P47" s="57">
        <v>0.18279999999999999</v>
      </c>
      <c r="AG47" s="57">
        <v>0.37640000000000001</v>
      </c>
      <c r="AH47" s="57">
        <v>0.161</v>
      </c>
    </row>
    <row r="48" spans="1:34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I48" s="57">
        <v>1.177</v>
      </c>
      <c r="J48" s="57">
        <v>1.6727000000000001</v>
      </c>
      <c r="L48" s="57">
        <v>1.28</v>
      </c>
      <c r="M48" s="57">
        <v>0.4425</v>
      </c>
      <c r="O48" s="57">
        <v>1.24</v>
      </c>
      <c r="P48" s="57">
        <v>1.1916</v>
      </c>
      <c r="AG48" s="57">
        <v>0.35570000000000002</v>
      </c>
      <c r="AH48" s="57">
        <v>0.151</v>
      </c>
    </row>
    <row r="49" spans="1:34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</row>
    <row r="50" spans="1:34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</row>
    <row r="51" spans="1:34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</row>
    <row r="52" spans="1:34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</row>
    <row r="53" spans="1:34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I53" s="57">
        <v>1.01</v>
      </c>
      <c r="J53" s="57">
        <v>0.48709999999999998</v>
      </c>
      <c r="L53" s="57">
        <v>1.01</v>
      </c>
      <c r="M53" s="57">
        <v>0.4551</v>
      </c>
      <c r="O53" s="57">
        <v>1.2</v>
      </c>
      <c r="P53" s="57">
        <v>0.79330000000000001</v>
      </c>
      <c r="AG53" s="57">
        <v>0.53949999999999998</v>
      </c>
      <c r="AH53" s="57">
        <v>0.19900000000000001</v>
      </c>
    </row>
    <row r="54" spans="1:34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</row>
    <row r="55" spans="1:34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</row>
    <row r="56" spans="1:34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</row>
    <row r="57" spans="1:34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</row>
    <row r="58" spans="1:34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</row>
    <row r="59" spans="1:34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</row>
    <row r="60" spans="1:34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</row>
    <row r="61" spans="1:34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</row>
    <row r="62" spans="1:34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</row>
    <row r="63" spans="1:34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</row>
    <row r="64" spans="1:34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</row>
    <row r="65" spans="1:34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</row>
    <row r="66" spans="1:34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</row>
    <row r="67" spans="1:34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</row>
    <row r="68" spans="1:34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</row>
    <row r="69" spans="1:34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</row>
    <row r="70" spans="1:34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</row>
    <row r="71" spans="1:34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</row>
    <row r="72" spans="1:34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</row>
    <row r="73" spans="1:34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</row>
    <row r="74" spans="1:34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</row>
    <row r="75" spans="1:34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I75" s="57">
        <v>0.45</v>
      </c>
      <c r="J75" s="57">
        <v>1.5339</v>
      </c>
      <c r="L75" s="57">
        <v>0.3</v>
      </c>
      <c r="M75" s="57">
        <v>2.9236</v>
      </c>
      <c r="O75" s="57">
        <v>0.42499999999999999</v>
      </c>
      <c r="P75" s="57">
        <v>0.99209999999999998</v>
      </c>
      <c r="AG75" s="57">
        <v>1.4611000000000001</v>
      </c>
      <c r="AH75" s="57">
        <v>0.90300000000000002</v>
      </c>
    </row>
    <row r="76" spans="1:34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</row>
    <row r="77" spans="1:34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</row>
    <row r="78" spans="1:34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</row>
    <row r="79" spans="1:34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</row>
    <row r="80" spans="1:34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</row>
    <row r="81" spans="1:34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34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I82" s="57">
        <v>0.35</v>
      </c>
      <c r="J82" s="57">
        <v>1.6583000000000001</v>
      </c>
      <c r="L82" s="57">
        <v>0.45</v>
      </c>
      <c r="M82" s="57">
        <v>1.2179</v>
      </c>
      <c r="O82" s="57">
        <v>0.5</v>
      </c>
      <c r="P82" s="57">
        <v>1.4681</v>
      </c>
      <c r="R82" s="57">
        <v>0.55000000000000004</v>
      </c>
      <c r="U82" s="57">
        <v>0.55000000000000004</v>
      </c>
      <c r="AG82" s="57">
        <v>1.8827</v>
      </c>
      <c r="AH82" s="57">
        <v>1.119</v>
      </c>
    </row>
    <row r="83" spans="1:34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</row>
    <row r="84" spans="1:34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</row>
    <row r="85" spans="1:34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</row>
    <row r="86" spans="1:34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</row>
    <row r="87" spans="1:34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</row>
    <row r="88" spans="1:34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</row>
    <row r="89" spans="1:34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</row>
    <row r="90" spans="1:34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</row>
    <row r="91" spans="1:34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I91" s="57">
        <v>1.1299999999999999</v>
      </c>
      <c r="J91" s="57">
        <v>0.31830000000000003</v>
      </c>
      <c r="L91" s="57">
        <v>1.1499999999999999</v>
      </c>
      <c r="M91" s="57">
        <v>0.20219999999999999</v>
      </c>
      <c r="O91" s="57">
        <v>1.204</v>
      </c>
      <c r="P91" s="57">
        <v>0.5121</v>
      </c>
      <c r="AG91" s="57">
        <v>0.2422</v>
      </c>
      <c r="AH91" s="57">
        <v>9.2999999999999999E-2</v>
      </c>
    </row>
    <row r="92" spans="1:34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I92" s="57">
        <v>0.38</v>
      </c>
      <c r="J92" s="57">
        <v>0.82679999999999998</v>
      </c>
      <c r="L92" s="57">
        <v>1.1000000000000001</v>
      </c>
      <c r="M92" s="57">
        <v>0.75360000000000005</v>
      </c>
      <c r="O92" s="57">
        <v>1.18</v>
      </c>
      <c r="P92" s="57">
        <v>1.3643000000000001</v>
      </c>
      <c r="R92" s="57">
        <v>1.1200000000000001</v>
      </c>
      <c r="AG92" s="57">
        <v>0.30130000000000001</v>
      </c>
      <c r="AH92" s="57">
        <v>0.11</v>
      </c>
    </row>
    <row r="93" spans="1:34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I93" s="57">
        <v>1.41</v>
      </c>
      <c r="J93" s="57">
        <v>0.76380000000000003</v>
      </c>
      <c r="L93" s="57">
        <v>1.19</v>
      </c>
      <c r="M93" s="57">
        <v>0.88849999999999996</v>
      </c>
      <c r="O93" s="57">
        <v>1.25</v>
      </c>
      <c r="P93" s="57">
        <v>1.5595000000000001</v>
      </c>
      <c r="AG93" s="57">
        <v>0.45219999999999999</v>
      </c>
      <c r="AH93" s="57">
        <v>0.16700000000000001</v>
      </c>
    </row>
    <row r="94" spans="1:34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</row>
    <row r="95" spans="1:34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34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34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34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34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34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34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34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34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34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34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34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34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I107" s="57">
        <v>0.42</v>
      </c>
      <c r="L107" s="57">
        <v>0.46</v>
      </c>
      <c r="O107" s="57">
        <v>0.42</v>
      </c>
      <c r="AG107" s="57">
        <v>1.7637</v>
      </c>
      <c r="AH107" s="57">
        <v>0.872</v>
      </c>
    </row>
    <row r="108" spans="1:34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34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34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I110" s="57">
        <v>0.32</v>
      </c>
      <c r="L110" s="57">
        <v>0.32</v>
      </c>
      <c r="O110" s="57">
        <v>0.35</v>
      </c>
      <c r="AG110" s="57">
        <v>1.9034</v>
      </c>
      <c r="AH110" s="57">
        <v>0.98199999999999998</v>
      </c>
    </row>
    <row r="111" spans="1:34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I111" s="57">
        <v>0.4</v>
      </c>
      <c r="L111" s="57">
        <v>0.46</v>
      </c>
      <c r="O111" s="57">
        <v>0.45</v>
      </c>
      <c r="AG111" s="57">
        <v>2.3087</v>
      </c>
      <c r="AH111" s="57">
        <v>1.1599999999999999</v>
      </c>
    </row>
    <row r="112" spans="1:34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I112" s="57">
        <v>1.4</v>
      </c>
      <c r="L112" s="57">
        <v>1.4</v>
      </c>
      <c r="O112" s="57">
        <v>0.4</v>
      </c>
      <c r="R112" s="57">
        <v>0.2</v>
      </c>
      <c r="U112" s="57">
        <v>0.1</v>
      </c>
      <c r="X112" s="57">
        <v>0.4</v>
      </c>
      <c r="AA112" s="57">
        <v>0.4</v>
      </c>
      <c r="AG112" s="57">
        <v>1.2413000000000001</v>
      </c>
      <c r="AH112" s="57">
        <v>0.61899999999999999</v>
      </c>
    </row>
    <row r="113" spans="1:5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</row>
    <row r="114" spans="1:5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</row>
    <row r="115" spans="1:5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</row>
    <row r="116" spans="1:5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</row>
    <row r="117" spans="1:5" x14ac:dyDescent="0.2">
      <c r="A117" s="57" t="s">
        <v>134</v>
      </c>
      <c r="B117" s="76" t="s">
        <v>135</v>
      </c>
      <c r="C117" s="57" t="s">
        <v>134</v>
      </c>
      <c r="D117" s="54" t="s">
        <v>137</v>
      </c>
      <c r="E117" s="57" t="s">
        <v>141</v>
      </c>
    </row>
    <row r="118" spans="1:5" x14ac:dyDescent="0.2">
      <c r="A118" s="57" t="s">
        <v>139</v>
      </c>
      <c r="B118" s="76" t="s">
        <v>139</v>
      </c>
      <c r="C118" s="57" t="s">
        <v>139</v>
      </c>
      <c r="D118" s="54" t="s">
        <v>142</v>
      </c>
      <c r="E118" s="57" t="s">
        <v>144</v>
      </c>
    </row>
    <row r="119" spans="1:5" x14ac:dyDescent="0.2">
      <c r="A119" s="57" t="s">
        <v>134</v>
      </c>
      <c r="B119" s="76" t="s">
        <v>135</v>
      </c>
      <c r="C119" s="57" t="s">
        <v>134</v>
      </c>
      <c r="D119" s="54" t="s">
        <v>142</v>
      </c>
      <c r="E119" s="57" t="s">
        <v>145</v>
      </c>
    </row>
    <row r="120" spans="1:5" x14ac:dyDescent="0.2">
      <c r="A120" s="57" t="s">
        <v>127</v>
      </c>
      <c r="B120" s="76" t="s">
        <v>146</v>
      </c>
      <c r="C120" s="57" t="s">
        <v>262</v>
      </c>
      <c r="D120" s="54" t="s">
        <v>58</v>
      </c>
      <c r="E120" s="57">
        <v>2093</v>
      </c>
    </row>
    <row r="121" spans="1:5" x14ac:dyDescent="0.2">
      <c r="A121" s="57" t="s">
        <v>127</v>
      </c>
      <c r="B121" s="76" t="s">
        <v>146</v>
      </c>
      <c r="C121" s="57" t="s">
        <v>262</v>
      </c>
      <c r="D121" s="54" t="s">
        <v>58</v>
      </c>
      <c r="E121" s="57">
        <v>2092</v>
      </c>
    </row>
    <row r="122" spans="1:5" x14ac:dyDescent="0.2">
      <c r="A122" s="57" t="s">
        <v>127</v>
      </c>
      <c r="B122" s="76" t="s">
        <v>146</v>
      </c>
      <c r="C122" s="57" t="s">
        <v>262</v>
      </c>
      <c r="D122" s="54" t="s">
        <v>58</v>
      </c>
      <c r="E122" s="57">
        <v>2091</v>
      </c>
    </row>
    <row r="123" spans="1:5" x14ac:dyDescent="0.2">
      <c r="A123" s="57" t="s">
        <v>127</v>
      </c>
      <c r="B123" s="76" t="s">
        <v>146</v>
      </c>
      <c r="C123" s="57" t="s">
        <v>262</v>
      </c>
      <c r="D123" s="54" t="s">
        <v>64</v>
      </c>
      <c r="E123" s="57">
        <v>2090</v>
      </c>
    </row>
    <row r="124" spans="1:5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2089</v>
      </c>
    </row>
    <row r="125" spans="1:5" x14ac:dyDescent="0.2">
      <c r="A125" s="57" t="s">
        <v>127</v>
      </c>
      <c r="B125" s="76" t="s">
        <v>146</v>
      </c>
      <c r="C125" s="57" t="s">
        <v>262</v>
      </c>
      <c r="D125" s="54" t="s">
        <v>64</v>
      </c>
      <c r="E125" s="57">
        <v>2088</v>
      </c>
    </row>
    <row r="126" spans="1:5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2087</v>
      </c>
    </row>
    <row r="127" spans="1:5" x14ac:dyDescent="0.2">
      <c r="A127" s="57" t="s">
        <v>127</v>
      </c>
      <c r="B127" s="76" t="s">
        <v>146</v>
      </c>
      <c r="C127" s="57" t="s">
        <v>262</v>
      </c>
      <c r="D127" s="54" t="s">
        <v>64</v>
      </c>
      <c r="E127" s="57">
        <v>2086</v>
      </c>
    </row>
    <row r="128" spans="1:5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2085</v>
      </c>
    </row>
    <row r="129" spans="1:5" x14ac:dyDescent="0.2">
      <c r="A129" s="57" t="s">
        <v>139</v>
      </c>
      <c r="B129" s="76" t="s">
        <v>139</v>
      </c>
      <c r="C129" s="57" t="s">
        <v>139</v>
      </c>
      <c r="D129" s="54" t="s">
        <v>64</v>
      </c>
      <c r="E129" s="57">
        <v>2020</v>
      </c>
    </row>
    <row r="130" spans="1:5" x14ac:dyDescent="0.2">
      <c r="A130" s="57" t="s">
        <v>139</v>
      </c>
      <c r="B130" s="76" t="s">
        <v>139</v>
      </c>
      <c r="C130" s="57" t="s">
        <v>139</v>
      </c>
      <c r="D130" s="54" t="s">
        <v>64</v>
      </c>
      <c r="E130" s="57">
        <v>2021</v>
      </c>
    </row>
    <row r="131" spans="1:5" x14ac:dyDescent="0.2">
      <c r="A131" s="57" t="s">
        <v>139</v>
      </c>
      <c r="B131" s="76" t="s">
        <v>139</v>
      </c>
      <c r="C131" s="57" t="s">
        <v>139</v>
      </c>
      <c r="D131" s="54" t="s">
        <v>58</v>
      </c>
      <c r="E131" s="57">
        <v>2022</v>
      </c>
    </row>
    <row r="132" spans="1:5" x14ac:dyDescent="0.2">
      <c r="A132" s="57" t="s">
        <v>139</v>
      </c>
      <c r="B132" s="76" t="s">
        <v>139</v>
      </c>
      <c r="C132" s="57" t="s">
        <v>139</v>
      </c>
      <c r="D132" s="54" t="s">
        <v>58</v>
      </c>
      <c r="E132" s="57">
        <v>2023</v>
      </c>
    </row>
    <row r="133" spans="1:5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2024</v>
      </c>
    </row>
    <row r="134" spans="1:5" x14ac:dyDescent="0.2">
      <c r="A134" s="57" t="s">
        <v>139</v>
      </c>
      <c r="B134" s="76" t="s">
        <v>139</v>
      </c>
      <c r="C134" s="57" t="s">
        <v>139</v>
      </c>
      <c r="D134" s="54" t="s">
        <v>64</v>
      </c>
      <c r="E134" s="57">
        <v>2025</v>
      </c>
    </row>
    <row r="135" spans="1:5" x14ac:dyDescent="0.2">
      <c r="A135" s="57" t="s">
        <v>139</v>
      </c>
      <c r="B135" s="76" t="s">
        <v>147</v>
      </c>
      <c r="C135" s="57" t="s">
        <v>263</v>
      </c>
      <c r="D135" s="54" t="s">
        <v>64</v>
      </c>
      <c r="E135" s="57">
        <v>2026</v>
      </c>
    </row>
    <row r="136" spans="1:5" x14ac:dyDescent="0.2">
      <c r="A136" s="57" t="s">
        <v>139</v>
      </c>
      <c r="B136" s="76" t="s">
        <v>147</v>
      </c>
      <c r="C136" s="57" t="s">
        <v>263</v>
      </c>
      <c r="D136" s="54" t="s">
        <v>64</v>
      </c>
      <c r="E136" s="57">
        <v>2027</v>
      </c>
    </row>
    <row r="137" spans="1:5" x14ac:dyDescent="0.2">
      <c r="A137" s="57" t="s">
        <v>139</v>
      </c>
      <c r="B137" s="76" t="s">
        <v>147</v>
      </c>
      <c r="C137" s="57" t="s">
        <v>263</v>
      </c>
      <c r="D137" s="54" t="s">
        <v>64</v>
      </c>
      <c r="E137" s="57">
        <v>2028</v>
      </c>
    </row>
    <row r="138" spans="1:5" x14ac:dyDescent="0.2">
      <c r="A138" s="57" t="s">
        <v>139</v>
      </c>
      <c r="B138" s="76" t="s">
        <v>147</v>
      </c>
      <c r="C138" s="57" t="s">
        <v>263</v>
      </c>
      <c r="D138" s="54" t="s">
        <v>58</v>
      </c>
      <c r="E138" s="57">
        <v>2029</v>
      </c>
    </row>
    <row r="139" spans="1:5" x14ac:dyDescent="0.2">
      <c r="A139" s="57" t="s">
        <v>139</v>
      </c>
      <c r="B139" s="76" t="s">
        <v>147</v>
      </c>
      <c r="C139" s="57" t="s">
        <v>263</v>
      </c>
      <c r="D139" s="54" t="s">
        <v>58</v>
      </c>
      <c r="E139" s="57">
        <v>2030</v>
      </c>
    </row>
    <row r="140" spans="1:5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2031</v>
      </c>
    </row>
    <row r="141" spans="1:5" x14ac:dyDescent="0.2">
      <c r="A141" s="57" t="s">
        <v>134</v>
      </c>
      <c r="B141" s="76" t="s">
        <v>146</v>
      </c>
      <c r="C141" s="57" t="s">
        <v>264</v>
      </c>
      <c r="D141" s="54" t="s">
        <v>64</v>
      </c>
      <c r="E141" s="57">
        <v>2012</v>
      </c>
    </row>
    <row r="142" spans="1:5" x14ac:dyDescent="0.2">
      <c r="A142" s="57" t="s">
        <v>134</v>
      </c>
      <c r="B142" s="76" t="s">
        <v>146</v>
      </c>
      <c r="C142" s="57" t="s">
        <v>264</v>
      </c>
      <c r="D142" s="54" t="s">
        <v>64</v>
      </c>
      <c r="E142" s="57">
        <v>2013</v>
      </c>
    </row>
    <row r="143" spans="1:5" x14ac:dyDescent="0.2">
      <c r="A143" s="57" t="s">
        <v>134</v>
      </c>
      <c r="B143" s="76" t="s">
        <v>146</v>
      </c>
      <c r="C143" s="57" t="s">
        <v>264</v>
      </c>
      <c r="D143" s="54" t="s">
        <v>64</v>
      </c>
      <c r="E143" s="57">
        <v>2014</v>
      </c>
    </row>
    <row r="144" spans="1:5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2015</v>
      </c>
    </row>
    <row r="145" spans="1:34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1478</v>
      </c>
    </row>
    <row r="146" spans="1:34" x14ac:dyDescent="0.2">
      <c r="A146" s="57" t="s">
        <v>114</v>
      </c>
      <c r="B146" s="76" t="s">
        <v>133</v>
      </c>
      <c r="D146" s="54" t="s">
        <v>64</v>
      </c>
      <c r="E146" s="57">
        <v>2010</v>
      </c>
      <c r="I146" s="57">
        <v>0.51800000000000002</v>
      </c>
      <c r="L146" s="57">
        <v>0.47899999999999998</v>
      </c>
      <c r="O146" s="57">
        <v>0.51600000000000001</v>
      </c>
      <c r="AG146" s="57">
        <v>1.3442000000000001</v>
      </c>
      <c r="AH146" s="57">
        <v>0.64300000000000002</v>
      </c>
    </row>
    <row r="147" spans="1:34" x14ac:dyDescent="0.2">
      <c r="A147" s="57" t="s">
        <v>114</v>
      </c>
      <c r="B147" s="76" t="s">
        <v>131</v>
      </c>
      <c r="D147" s="54" t="s">
        <v>64</v>
      </c>
      <c r="E147" s="57">
        <v>2009</v>
      </c>
      <c r="I147" s="57">
        <v>1.18</v>
      </c>
      <c r="J147" s="57">
        <v>0.71870000000000001</v>
      </c>
      <c r="L147" s="57">
        <v>1.1200000000000001</v>
      </c>
      <c r="M147" s="57">
        <v>0.90849999999999997</v>
      </c>
      <c r="O147" s="57">
        <v>1.07</v>
      </c>
      <c r="P147" s="79">
        <v>12544</v>
      </c>
      <c r="AG147" s="57">
        <v>0.38150000000000001</v>
      </c>
      <c r="AH147" s="57">
        <v>0.161</v>
      </c>
    </row>
    <row r="148" spans="1:34" x14ac:dyDescent="0.2">
      <c r="D148" s="3"/>
    </row>
    <row r="149" spans="1:34" x14ac:dyDescent="0.2">
      <c r="D149" s="3"/>
    </row>
    <row r="150" spans="1:34" x14ac:dyDescent="0.2">
      <c r="D150" s="3"/>
    </row>
    <row r="151" spans="1:34" x14ac:dyDescent="0.2">
      <c r="D151" s="3"/>
    </row>
    <row r="152" spans="1:34" x14ac:dyDescent="0.2">
      <c r="D152" s="3"/>
    </row>
    <row r="153" spans="1:34" x14ac:dyDescent="0.2">
      <c r="D153" s="3"/>
    </row>
    <row r="154" spans="1:34" x14ac:dyDescent="0.2">
      <c r="D154" s="3"/>
    </row>
    <row r="155" spans="1:34" x14ac:dyDescent="0.2">
      <c r="D155" s="3"/>
    </row>
    <row r="156" spans="1:34" x14ac:dyDescent="0.2">
      <c r="D156" s="3"/>
    </row>
    <row r="157" spans="1:34" x14ac:dyDescent="0.2">
      <c r="D157" s="3"/>
    </row>
    <row r="158" spans="1:34" x14ac:dyDescent="0.2">
      <c r="D158" s="3"/>
    </row>
    <row r="159" spans="1:34" x14ac:dyDescent="0.2">
      <c r="D159" s="3"/>
    </row>
    <row r="160" spans="1:34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H313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0" x14ac:dyDescent="0.2">
      <c r="C1" s="74" t="s">
        <v>207</v>
      </c>
      <c r="D1" s="1"/>
      <c r="E1" s="1"/>
    </row>
    <row r="3" spans="1:60" x14ac:dyDescent="0.2">
      <c r="C3" s="12" t="s">
        <v>1</v>
      </c>
      <c r="D3" s="38" t="s">
        <v>208</v>
      </c>
      <c r="E3" s="12"/>
    </row>
    <row r="4" spans="1:60" x14ac:dyDescent="0.2">
      <c r="C4" s="12" t="s">
        <v>3</v>
      </c>
      <c r="D4" s="77">
        <v>44655</v>
      </c>
    </row>
    <row r="6" spans="1:60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</row>
    <row r="7" spans="1:60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</row>
    <row r="8" spans="1:60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</row>
    <row r="9" spans="1:60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</row>
    <row r="10" spans="1:60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</row>
    <row r="11" spans="1:60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0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</row>
    <row r="13" spans="1:60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</row>
    <row r="14" spans="1:60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0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</row>
    <row r="16" spans="1:60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</row>
    <row r="17" spans="1:5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5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</row>
    <row r="19" spans="1:5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</row>
    <row r="20" spans="1:5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5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</row>
    <row r="22" spans="1:5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</row>
    <row r="23" spans="1:5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</row>
    <row r="24" spans="1:5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</row>
    <row r="25" spans="1:5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</row>
    <row r="26" spans="1:5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5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</row>
    <row r="28" spans="1:5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5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5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</row>
    <row r="31" spans="1:5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</row>
    <row r="32" spans="1:5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</row>
    <row r="33" spans="1:9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</row>
    <row r="34" spans="1:9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</row>
    <row r="35" spans="1:9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</row>
    <row r="36" spans="1:9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</row>
    <row r="37" spans="1:9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</row>
    <row r="38" spans="1:9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</row>
    <row r="39" spans="1:9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</row>
    <row r="40" spans="1:9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</row>
    <row r="41" spans="1:9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</row>
    <row r="42" spans="1:9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</row>
    <row r="43" spans="1:9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9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</row>
    <row r="45" spans="1:9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9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I46" s="57">
        <v>1.708</v>
      </c>
    </row>
    <row r="47" spans="1:9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</row>
    <row r="48" spans="1:9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</row>
    <row r="49" spans="1:5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</row>
    <row r="50" spans="1:5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</row>
    <row r="51" spans="1:5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</row>
    <row r="52" spans="1:5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</row>
    <row r="53" spans="1:5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</row>
    <row r="54" spans="1:5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</row>
    <row r="55" spans="1:5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</row>
    <row r="56" spans="1:5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</row>
    <row r="57" spans="1:5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</row>
    <row r="58" spans="1:5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</row>
    <row r="59" spans="1:5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</row>
    <row r="60" spans="1:5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</row>
    <row r="61" spans="1:5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</row>
    <row r="62" spans="1:5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</row>
    <row r="63" spans="1:5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</row>
    <row r="64" spans="1:5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</row>
    <row r="65" spans="1:5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</row>
    <row r="66" spans="1:5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</row>
    <row r="67" spans="1:5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</row>
    <row r="68" spans="1:5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</row>
    <row r="69" spans="1:5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</row>
    <row r="70" spans="1:5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</row>
    <row r="71" spans="1:5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</row>
    <row r="72" spans="1:5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</row>
    <row r="73" spans="1:5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</row>
    <row r="74" spans="1:5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</row>
    <row r="75" spans="1:5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</row>
    <row r="76" spans="1:5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</row>
    <row r="77" spans="1:5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</row>
    <row r="78" spans="1:5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</row>
    <row r="79" spans="1:5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</row>
    <row r="80" spans="1:5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</row>
    <row r="81" spans="1:38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38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I82" s="57">
        <v>3.0430000000000001</v>
      </c>
      <c r="L82" s="57">
        <v>1.746</v>
      </c>
      <c r="O82" s="57">
        <v>1.9630000000000001</v>
      </c>
      <c r="AK82" s="57">
        <v>0.14480000000000001</v>
      </c>
      <c r="AL82" s="57">
        <v>8.4099999999999994E-2</v>
      </c>
    </row>
    <row r="83" spans="1:38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</row>
    <row r="84" spans="1:38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</row>
    <row r="85" spans="1:38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</row>
    <row r="86" spans="1:38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</row>
    <row r="87" spans="1:38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</row>
    <row r="88" spans="1:38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</row>
    <row r="89" spans="1:38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</row>
    <row r="90" spans="1:38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</row>
    <row r="91" spans="1:38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</row>
    <row r="92" spans="1:38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</row>
    <row r="93" spans="1:38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</row>
    <row r="94" spans="1:38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</row>
    <row r="95" spans="1:38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38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5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5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5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5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5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5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5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5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5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5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5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</row>
    <row r="108" spans="1:5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5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5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</row>
    <row r="111" spans="1:5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</row>
    <row r="112" spans="1:5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</row>
    <row r="113" spans="1:60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  <c r="I113" s="57">
        <v>0.40500000000000003</v>
      </c>
      <c r="L113" s="57">
        <v>0.28399999999999997</v>
      </c>
      <c r="O113" s="57">
        <v>0.39300000000000002</v>
      </c>
      <c r="R113" s="57">
        <v>0.47499999999999998</v>
      </c>
      <c r="AG113" s="57">
        <v>3.1082999999999998</v>
      </c>
      <c r="AH113" s="57">
        <v>1.5441</v>
      </c>
      <c r="AJ113" s="57">
        <v>2.4</v>
      </c>
      <c r="AK113" s="57">
        <v>0.46689999999999998</v>
      </c>
      <c r="AL113" s="57">
        <v>0.2606</v>
      </c>
      <c r="AM113" s="57">
        <v>2.35</v>
      </c>
      <c r="AN113" s="57">
        <v>0.59660000000000002</v>
      </c>
      <c r="AO113" s="57">
        <v>0.32700000000000001</v>
      </c>
      <c r="AP113" s="57">
        <v>2.4</v>
      </c>
      <c r="AQ113" s="57">
        <v>0.23530000000000001</v>
      </c>
      <c r="AR113" s="57">
        <v>0.1331</v>
      </c>
    </row>
    <row r="114" spans="1:60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  <c r="I114" s="57">
        <v>0.42799999999999999</v>
      </c>
      <c r="L114" s="57">
        <v>0.43099999999999999</v>
      </c>
      <c r="AG114" s="57">
        <v>1.7037</v>
      </c>
      <c r="AH114" s="57">
        <v>0.83650000000000002</v>
      </c>
      <c r="AJ114" s="57">
        <v>2.1</v>
      </c>
      <c r="AK114" s="57">
        <v>0.20380000000000001</v>
      </c>
      <c r="AL114" s="57">
        <v>0.1104</v>
      </c>
      <c r="AM114" s="57">
        <v>2.15</v>
      </c>
      <c r="AN114" s="57">
        <v>0.25540000000000002</v>
      </c>
      <c r="AO114" s="57">
        <v>0.13789999999999999</v>
      </c>
      <c r="AP114" s="57">
        <v>2.15</v>
      </c>
      <c r="AQ114" s="57">
        <v>0.31619999999999998</v>
      </c>
      <c r="AR114" s="57">
        <v>0.17</v>
      </c>
    </row>
    <row r="115" spans="1:60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  <c r="I115" s="57">
        <v>0.50900000000000001</v>
      </c>
      <c r="L115" s="57">
        <v>0.59199999999999997</v>
      </c>
      <c r="O115" s="57">
        <v>0.52100000000000002</v>
      </c>
      <c r="AG115" s="57">
        <v>3.7179000000000002</v>
      </c>
      <c r="AH115" s="57">
        <v>1.9004000000000001</v>
      </c>
      <c r="AJ115" s="57">
        <v>2.1</v>
      </c>
      <c r="AK115" s="57">
        <v>0.1726</v>
      </c>
      <c r="AL115" s="57">
        <v>9.5000000000000001E-2</v>
      </c>
      <c r="AM115" s="57">
        <v>2.1</v>
      </c>
      <c r="AN115" s="57">
        <v>0.16</v>
      </c>
      <c r="AO115" s="57">
        <v>8.7999999999999995E-2</v>
      </c>
      <c r="AP115" s="57">
        <v>2.2000000000000002</v>
      </c>
      <c r="AQ115" s="57">
        <v>0.12379999999999999</v>
      </c>
      <c r="AR115" s="57">
        <v>6.8000000000000005E-2</v>
      </c>
    </row>
    <row r="116" spans="1:60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  <c r="I116" s="57">
        <v>0.4</v>
      </c>
      <c r="L116" s="57">
        <v>0.27100000000000002</v>
      </c>
      <c r="O116" s="57">
        <v>0.376</v>
      </c>
      <c r="R116" s="57">
        <v>0.42</v>
      </c>
      <c r="AG116" s="57">
        <v>2.8553999999999999</v>
      </c>
      <c r="AH116" s="57">
        <v>1.5258</v>
      </c>
      <c r="AJ116" s="57">
        <v>2.1</v>
      </c>
      <c r="AK116" s="57">
        <v>0.3206</v>
      </c>
      <c r="AL116" s="57">
        <v>0.183</v>
      </c>
      <c r="AM116" s="57">
        <v>2.1</v>
      </c>
      <c r="AN116" s="57">
        <v>0.2356</v>
      </c>
      <c r="AO116" s="57">
        <v>0.13100000000000001</v>
      </c>
    </row>
    <row r="117" spans="1:60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E117" s="57" t="s">
        <v>138</v>
      </c>
      <c r="I117" s="57">
        <v>8.7999999999999995E-2</v>
      </c>
      <c r="L117" s="57">
        <v>0.09</v>
      </c>
      <c r="O117" s="57">
        <v>9.0999999999999998E-2</v>
      </c>
      <c r="R117" s="57">
        <v>0.18</v>
      </c>
      <c r="U117" s="57">
        <v>0.6</v>
      </c>
      <c r="X117" s="57"/>
      <c r="AA117" s="57"/>
      <c r="AG117" s="57">
        <v>1.6631</v>
      </c>
      <c r="AH117" s="57">
        <v>0.6341</v>
      </c>
    </row>
    <row r="118" spans="1:60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E118" s="57" t="s">
        <v>140</v>
      </c>
      <c r="I118" s="57">
        <v>0.90400000000000003</v>
      </c>
      <c r="L118" s="57">
        <v>0.8</v>
      </c>
      <c r="O118" s="57">
        <v>0.94399999999999995</v>
      </c>
      <c r="R118" s="57">
        <v>0.82</v>
      </c>
      <c r="U118" s="57">
        <v>0.82599999999999996</v>
      </c>
      <c r="X118" s="57">
        <v>0.83099999999999996</v>
      </c>
      <c r="AA118" s="57">
        <v>0.86199999999999999</v>
      </c>
    </row>
    <row r="119" spans="1:60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E119" s="57" t="s">
        <v>141</v>
      </c>
      <c r="AJ119" s="57">
        <v>1.45</v>
      </c>
      <c r="AK119" s="57">
        <v>0.20330000000000001</v>
      </c>
      <c r="AM119" s="57">
        <v>1.45</v>
      </c>
      <c r="BE119" s="57">
        <v>9.4600000000000004E-2</v>
      </c>
      <c r="BF119" s="57">
        <v>4.3999999999999997E-2</v>
      </c>
    </row>
    <row r="120" spans="1:60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E120" s="57" t="s">
        <v>143</v>
      </c>
      <c r="I120" s="57">
        <v>0.58399999999999996</v>
      </c>
      <c r="L120" s="57">
        <v>0.443</v>
      </c>
      <c r="O120" s="57">
        <v>0.71599999999999997</v>
      </c>
      <c r="R120" s="57">
        <v>0.99199999999999999</v>
      </c>
      <c r="U120" s="57">
        <v>0.44500000000000001</v>
      </c>
      <c r="X120" s="57"/>
      <c r="AA120" s="57"/>
      <c r="AD120" s="57"/>
    </row>
    <row r="121" spans="1:60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E121" s="57" t="s">
        <v>144</v>
      </c>
      <c r="I121" s="57">
        <v>0.38300000000000001</v>
      </c>
      <c r="L121" s="57">
        <v>0.59199999999999997</v>
      </c>
      <c r="O121" s="57">
        <v>0.57099999999999995</v>
      </c>
      <c r="R121" s="57">
        <v>0.65</v>
      </c>
      <c r="U121" s="57">
        <v>0.62</v>
      </c>
      <c r="X121" s="57">
        <v>0.71799999999999997</v>
      </c>
      <c r="AA121" s="57">
        <v>0.42799999999999999</v>
      </c>
      <c r="AD121" s="57">
        <v>0.60799999999999998</v>
      </c>
      <c r="AJ121" s="80"/>
      <c r="AK121" s="81">
        <v>0.4501</v>
      </c>
      <c r="AL121" s="81">
        <v>0.19500000000000001</v>
      </c>
      <c r="AM121" s="80"/>
      <c r="AN121" s="81">
        <v>0.33689999999999998</v>
      </c>
      <c r="AO121" s="81">
        <v>0.13</v>
      </c>
      <c r="AP121" s="80"/>
      <c r="AQ121" s="81">
        <v>0.47010000000000002</v>
      </c>
      <c r="AR121" s="81">
        <v>0.19400000000000001</v>
      </c>
      <c r="AS121" s="80"/>
      <c r="AT121" s="81">
        <v>0.37530000000000002</v>
      </c>
      <c r="AU121" s="81">
        <v>0.153</v>
      </c>
      <c r="AV121" s="80"/>
      <c r="AW121" s="81">
        <v>0.52239999999999998</v>
      </c>
      <c r="AX121" s="81">
        <v>0.23</v>
      </c>
      <c r="AY121" s="80"/>
      <c r="AZ121" s="81">
        <v>0.2636</v>
      </c>
      <c r="BA121" s="81">
        <v>9.69E-2</v>
      </c>
      <c r="BB121" s="80"/>
      <c r="BC121" s="81">
        <v>0.30759999999999998</v>
      </c>
      <c r="BD121" s="81">
        <v>0.12540000000000001</v>
      </c>
      <c r="BE121" s="80"/>
      <c r="BH121" s="57" t="s">
        <v>284</v>
      </c>
    </row>
    <row r="122" spans="1:60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E122" s="57" t="s">
        <v>145</v>
      </c>
      <c r="I122" s="57">
        <v>0.108</v>
      </c>
      <c r="L122" s="57">
        <v>0.32500000000000001</v>
      </c>
      <c r="O122" s="57">
        <v>0.44800000000000001</v>
      </c>
      <c r="R122" s="57">
        <v>0.58199999999999996</v>
      </c>
      <c r="U122" s="57">
        <v>0.74199999999999999</v>
      </c>
      <c r="X122" s="57">
        <v>0.56799999999999995</v>
      </c>
      <c r="AA122" s="57">
        <v>0.248</v>
      </c>
      <c r="AD122" s="57">
        <v>0.34300000000000003</v>
      </c>
      <c r="AJ122" s="80"/>
      <c r="AK122" s="81">
        <v>0.49419999999999997</v>
      </c>
      <c r="AL122" s="81">
        <v>0.192</v>
      </c>
      <c r="AM122" s="80"/>
      <c r="AN122" s="81">
        <v>0.3831</v>
      </c>
      <c r="AO122" s="81">
        <v>0.14299999999999999</v>
      </c>
      <c r="AP122" s="80"/>
      <c r="AQ122" s="81">
        <v>0.46029999999999999</v>
      </c>
      <c r="AR122" s="81">
        <v>0.183</v>
      </c>
      <c r="AS122" s="80"/>
      <c r="AT122" s="81">
        <v>0.50900000000000001</v>
      </c>
      <c r="AU122" s="81">
        <v>0.20200000000000001</v>
      </c>
      <c r="AV122" s="80"/>
      <c r="AW122" s="81">
        <v>0.43140000000000001</v>
      </c>
      <c r="AX122" s="81">
        <v>0.17799999999999999</v>
      </c>
      <c r="AY122" s="80"/>
      <c r="AZ122" s="81">
        <v>0.495</v>
      </c>
      <c r="BA122" s="81">
        <v>0.20200000000000001</v>
      </c>
      <c r="BB122" s="80"/>
      <c r="BC122" s="81">
        <v>0.3649</v>
      </c>
      <c r="BD122" s="81">
        <v>0.11799999999999999</v>
      </c>
      <c r="BE122" s="80"/>
    </row>
    <row r="123" spans="1:60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  <c r="I123" s="57">
        <v>0.19600000000000001</v>
      </c>
      <c r="L123" s="57">
        <v>0.111</v>
      </c>
      <c r="O123" s="57">
        <v>0.15</v>
      </c>
      <c r="R123" s="57">
        <v>0.16</v>
      </c>
      <c r="AG123" s="57">
        <v>2.9691000000000001</v>
      </c>
      <c r="AH123" s="57">
        <v>1.8387</v>
      </c>
      <c r="AJ123" s="80"/>
      <c r="AK123" s="81">
        <v>0.2072</v>
      </c>
      <c r="AL123" s="81">
        <v>0.13100000000000001</v>
      </c>
      <c r="AM123" s="80"/>
      <c r="AN123" s="81">
        <v>0.29470000000000002</v>
      </c>
      <c r="AO123" s="81">
        <v>0.189</v>
      </c>
      <c r="AP123" s="80"/>
      <c r="AQ123" s="81">
        <v>0.24759999999999999</v>
      </c>
      <c r="AR123" s="81">
        <v>0.15720000000000001</v>
      </c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</row>
    <row r="124" spans="1:60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  <c r="I124" s="57">
        <v>0.108</v>
      </c>
      <c r="L124" s="57">
        <v>0.114</v>
      </c>
      <c r="O124" s="57">
        <v>0.106</v>
      </c>
      <c r="AG124" s="57">
        <v>3.1573000000000002</v>
      </c>
      <c r="AH124" s="57">
        <v>1.9077999999999999</v>
      </c>
      <c r="AJ124" s="80"/>
      <c r="AK124" s="81">
        <v>0.25629999999999997</v>
      </c>
      <c r="AL124" s="81">
        <v>0.1598</v>
      </c>
      <c r="AM124" s="80"/>
      <c r="AN124" s="81">
        <v>0.2228</v>
      </c>
      <c r="AO124" s="81">
        <v>0.13569999999999999</v>
      </c>
      <c r="AP124" s="80"/>
      <c r="AQ124" s="81">
        <v>0.23469999999999999</v>
      </c>
      <c r="AR124" s="81">
        <v>0.14749999999999999</v>
      </c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</row>
    <row r="125" spans="1:60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  <c r="I125" s="57">
        <v>0.105</v>
      </c>
      <c r="L125" s="57">
        <v>0.15</v>
      </c>
      <c r="O125" s="57">
        <v>0.128</v>
      </c>
      <c r="R125" s="57">
        <v>0.13300000000000001</v>
      </c>
      <c r="AG125" s="57">
        <v>2.7202000000000002</v>
      </c>
      <c r="AH125" s="57">
        <v>1.661</v>
      </c>
      <c r="AJ125" s="80"/>
      <c r="AK125" s="81">
        <v>0.15809999999999999</v>
      </c>
      <c r="AL125" s="81">
        <v>9.7699999999999995E-2</v>
      </c>
      <c r="AM125" s="80"/>
      <c r="AN125" s="81">
        <v>0.30049999999999999</v>
      </c>
      <c r="AO125" s="81">
        <v>0.19220000000000001</v>
      </c>
      <c r="AP125" s="80"/>
      <c r="AQ125" s="81">
        <v>0.20130000000000001</v>
      </c>
      <c r="AR125" s="81">
        <v>0.128</v>
      </c>
      <c r="AS125" s="80"/>
      <c r="AT125" s="81">
        <v>0.15640000000000001</v>
      </c>
      <c r="AU125" s="81">
        <v>9.69E-2</v>
      </c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</row>
    <row r="126" spans="1:60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  <c r="I126" s="57">
        <v>0.95599999999999996</v>
      </c>
      <c r="L126" s="57">
        <v>0.81599999999999995</v>
      </c>
      <c r="O126" s="57">
        <v>0.85199999999999998</v>
      </c>
      <c r="AG126" s="57">
        <v>3.8915000000000002</v>
      </c>
      <c r="AH126" s="57">
        <v>1.5882000000000001</v>
      </c>
      <c r="AJ126" s="80"/>
      <c r="AK126" s="81">
        <v>0.245</v>
      </c>
      <c r="AL126" s="81">
        <v>0.11509999999999999</v>
      </c>
      <c r="AM126" s="80"/>
      <c r="AN126" s="81">
        <v>0.1749</v>
      </c>
      <c r="AO126" s="81">
        <v>8.0199999999999994E-2</v>
      </c>
      <c r="AP126" s="80"/>
      <c r="AQ126" s="81">
        <v>0.1308</v>
      </c>
      <c r="AR126" s="81">
        <v>5.4800000000000001E-2</v>
      </c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</row>
    <row r="127" spans="1:60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  <c r="I127" s="57">
        <v>0.27100000000000002</v>
      </c>
      <c r="L127" s="57">
        <v>0.25</v>
      </c>
      <c r="O127" s="57">
        <v>0.15</v>
      </c>
      <c r="R127" s="57">
        <v>0.27</v>
      </c>
      <c r="U127" s="57">
        <v>0.16</v>
      </c>
      <c r="AG127" s="57">
        <v>3.1377999999999999</v>
      </c>
      <c r="AH127" s="57">
        <v>1.8996</v>
      </c>
      <c r="AJ127" s="80"/>
      <c r="AK127" s="81">
        <v>0.3085</v>
      </c>
      <c r="AL127" s="81">
        <v>0.20469999999999999</v>
      </c>
      <c r="AM127" s="80"/>
      <c r="AN127" s="81">
        <v>0.29599999999999999</v>
      </c>
      <c r="AO127" s="81">
        <v>0.1837</v>
      </c>
      <c r="AP127" s="80"/>
      <c r="AQ127" s="81">
        <v>0.2918</v>
      </c>
      <c r="AR127" s="81">
        <v>0.18529999999999999</v>
      </c>
      <c r="AS127" s="80"/>
      <c r="AT127" s="81">
        <v>0.35220000000000001</v>
      </c>
      <c r="AU127" s="81">
        <v>0.22389999999999999</v>
      </c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</row>
    <row r="128" spans="1:60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  <c r="I128" s="57">
        <v>0.19400000000000001</v>
      </c>
      <c r="L128" s="57">
        <v>0.20799999999999999</v>
      </c>
      <c r="O128" s="57">
        <v>0.219</v>
      </c>
      <c r="R128" s="57">
        <v>0.183</v>
      </c>
      <c r="AJ128" s="80"/>
      <c r="AK128" s="81">
        <v>0.1174</v>
      </c>
      <c r="AL128" s="81">
        <v>5.5E-2</v>
      </c>
      <c r="AM128" s="80"/>
      <c r="AN128" s="81">
        <v>0.1172</v>
      </c>
      <c r="AO128" s="81">
        <v>5.7000000000000002E-2</v>
      </c>
      <c r="AP128" s="80"/>
      <c r="AQ128" s="81">
        <v>9.8100000000000007E-2</v>
      </c>
      <c r="AR128" s="81">
        <v>4.3999999999999997E-2</v>
      </c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</row>
    <row r="129" spans="1:60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  <c r="I129" s="57">
        <v>0.59799999999999998</v>
      </c>
      <c r="L129" s="57">
        <v>0.74</v>
      </c>
      <c r="O129" s="57">
        <v>0.51300000000000001</v>
      </c>
      <c r="AG129" s="57">
        <v>0.5595</v>
      </c>
      <c r="AH129" s="57">
        <v>0.1986</v>
      </c>
      <c r="AJ129" s="80"/>
      <c r="AK129" s="81">
        <v>0.11260000000000001</v>
      </c>
      <c r="AL129" s="81">
        <v>4.8000000000000001E-2</v>
      </c>
      <c r="AM129" s="80"/>
      <c r="AN129" s="81">
        <v>9.2999999999999999E-2</v>
      </c>
      <c r="AO129" s="81">
        <v>3.6999999999999998E-2</v>
      </c>
      <c r="AP129" s="80"/>
      <c r="AQ129" s="81">
        <v>0.2112</v>
      </c>
      <c r="AR129" s="81">
        <v>9.0999999999999998E-2</v>
      </c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</row>
    <row r="130" spans="1:60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  <c r="I130" s="57">
        <v>0.88800000000000001</v>
      </c>
      <c r="L130" s="57">
        <v>0.625</v>
      </c>
      <c r="O130" s="57">
        <v>0.75600000000000001</v>
      </c>
      <c r="AG130" s="57">
        <v>0.73980000000000001</v>
      </c>
      <c r="AH130" s="57">
        <v>0.26200000000000001</v>
      </c>
      <c r="AJ130" s="81">
        <v>1.4</v>
      </c>
      <c r="AK130" s="81">
        <v>0.1492</v>
      </c>
      <c r="AL130" s="81">
        <v>5.8000000000000003E-2</v>
      </c>
      <c r="AM130" s="81">
        <v>0.8</v>
      </c>
      <c r="AN130" s="81">
        <v>0.14069999999999999</v>
      </c>
      <c r="AO130" s="81">
        <v>5.1999999999999998E-2</v>
      </c>
      <c r="AP130" s="81">
        <v>0.75</v>
      </c>
      <c r="AQ130" s="81">
        <v>0.105</v>
      </c>
      <c r="AR130" s="81">
        <v>3.7999999999999999E-2</v>
      </c>
      <c r="AS130" s="81">
        <v>0.5</v>
      </c>
      <c r="AT130" s="81">
        <v>0.1181</v>
      </c>
      <c r="AU130" s="81">
        <v>4.3999999999999997E-2</v>
      </c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</row>
    <row r="131" spans="1:60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  <c r="I131" s="57">
        <v>0.41799999999999998</v>
      </c>
      <c r="L131" s="57">
        <v>0.60499999999999998</v>
      </c>
      <c r="O131" s="57">
        <v>0.53100000000000003</v>
      </c>
      <c r="AG131" s="57">
        <v>2.5739000000000001</v>
      </c>
      <c r="AH131" s="57">
        <v>0.97060000000000002</v>
      </c>
      <c r="AJ131" s="80"/>
      <c r="AK131" s="57">
        <v>0.12379999999999999</v>
      </c>
      <c r="AL131" s="57">
        <v>4.9000000000000002E-2</v>
      </c>
      <c r="AM131" s="57"/>
      <c r="AN131" s="57">
        <v>0.1067</v>
      </c>
      <c r="AO131" s="57">
        <v>4.2999999999999997E-2</v>
      </c>
      <c r="AP131" s="57"/>
      <c r="AQ131" s="57">
        <v>0.10199999999999999</v>
      </c>
      <c r="AR131" s="57">
        <v>4.1000000000000002E-2</v>
      </c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H131" s="57" t="s">
        <v>285</v>
      </c>
    </row>
    <row r="132" spans="1:60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  <c r="I132" s="57">
        <v>0.41499999999999998</v>
      </c>
      <c r="L132" s="57">
        <v>0.48699999999999999</v>
      </c>
      <c r="O132" s="57">
        <v>0.998</v>
      </c>
      <c r="R132" s="57">
        <v>0.84499999999999997</v>
      </c>
      <c r="AG132" s="57">
        <v>0.65680000000000005</v>
      </c>
      <c r="AH132" s="57">
        <v>0.31909999999999999</v>
      </c>
      <c r="AJ132" s="57">
        <v>2.2999999999999998</v>
      </c>
      <c r="AK132" s="57">
        <v>0.13239999999999999</v>
      </c>
      <c r="AL132" s="57">
        <v>7.2999999999999995E-2</v>
      </c>
      <c r="AM132" s="57">
        <v>2.4</v>
      </c>
      <c r="AN132" s="57">
        <v>0.13700000000000001</v>
      </c>
      <c r="AO132" s="57">
        <v>7.5999999999999998E-2</v>
      </c>
      <c r="AP132" s="57">
        <v>2.6</v>
      </c>
      <c r="AQ132" s="57">
        <v>0.14660000000000001</v>
      </c>
      <c r="AR132" s="57">
        <v>8.2000000000000003E-2</v>
      </c>
    </row>
    <row r="133" spans="1:60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  <c r="I133" s="57">
        <v>0.108</v>
      </c>
      <c r="L133" s="57">
        <v>0.13800000000000001</v>
      </c>
      <c r="O133" s="57">
        <v>0.108</v>
      </c>
      <c r="R133" s="57">
        <v>0.27900000000000003</v>
      </c>
      <c r="U133" s="57">
        <v>0.20799999999999999</v>
      </c>
      <c r="AG133" s="57">
        <v>1.9611000000000001</v>
      </c>
      <c r="AH133" s="57">
        <v>0.97760000000000002</v>
      </c>
      <c r="AJ133" s="57">
        <v>2.95</v>
      </c>
      <c r="AK133" s="57">
        <v>8.6800000000000002E-2</v>
      </c>
      <c r="AL133" s="57">
        <v>4.9000000000000002E-2</v>
      </c>
      <c r="AM133" s="57">
        <v>2.8</v>
      </c>
      <c r="AN133" s="57">
        <v>8.4599999999999995E-2</v>
      </c>
      <c r="AO133" s="57">
        <v>4.8000000000000001E-2</v>
      </c>
    </row>
    <row r="134" spans="1:60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  <c r="I134" s="57">
        <v>0.27800000000000002</v>
      </c>
      <c r="L134" s="57">
        <v>0.14699999999999999</v>
      </c>
      <c r="O134" s="57">
        <v>0.17</v>
      </c>
      <c r="R134" s="57">
        <v>0.156</v>
      </c>
      <c r="AG134" s="57">
        <v>2.7532000000000001</v>
      </c>
      <c r="AH134" s="57">
        <v>1.548</v>
      </c>
      <c r="AK134" s="57">
        <v>0.37540000000000001</v>
      </c>
      <c r="AL134" s="57">
        <v>0.24199999999999999</v>
      </c>
      <c r="AN134" s="57">
        <v>0.28799999999999998</v>
      </c>
      <c r="AO134" s="57">
        <v>0.16500000000000001</v>
      </c>
      <c r="AQ134" s="57">
        <v>0.22670000000000001</v>
      </c>
      <c r="AR134" s="57">
        <v>0.13100000000000001</v>
      </c>
    </row>
    <row r="135" spans="1:60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  <c r="I135" s="57">
        <v>0.39600000000000002</v>
      </c>
      <c r="L135" s="57">
        <v>0.503</v>
      </c>
      <c r="O135" s="57">
        <v>0.318</v>
      </c>
      <c r="R135" s="57">
        <v>0.17799999999999999</v>
      </c>
      <c r="U135" s="57">
        <v>0.22</v>
      </c>
      <c r="AG135" s="57">
        <v>2.8525</v>
      </c>
      <c r="AH135" s="57">
        <v>1.6865000000000001</v>
      </c>
      <c r="AK135" s="57">
        <v>0.6</v>
      </c>
      <c r="AL135" s="57">
        <v>0.37569999999999998</v>
      </c>
      <c r="AN135" s="57">
        <v>0.2767</v>
      </c>
      <c r="AO135" s="57">
        <v>0.152</v>
      </c>
      <c r="AQ135" s="57">
        <v>0.37209999999999999</v>
      </c>
      <c r="AR135" s="57">
        <v>0.20810000000000001</v>
      </c>
    </row>
    <row r="136" spans="1:60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  <c r="I136" s="57">
        <v>0.40500000000000003</v>
      </c>
      <c r="O136" s="57">
        <v>0.44500000000000001</v>
      </c>
      <c r="R136" s="57">
        <v>0.38900000000000001</v>
      </c>
      <c r="AG136" s="57">
        <v>2.3723999999999998</v>
      </c>
      <c r="AH136" s="57">
        <v>1.0731999999999999</v>
      </c>
      <c r="AJ136" s="57">
        <v>2.2000000000000002</v>
      </c>
      <c r="AK136" s="57">
        <v>0.17469999999999999</v>
      </c>
      <c r="AL136" s="57">
        <v>9.5000000000000001E-2</v>
      </c>
      <c r="AM136" s="57">
        <v>2.2999999999999998</v>
      </c>
      <c r="AN136" s="57">
        <v>0.19789999999999999</v>
      </c>
      <c r="AO136" s="57">
        <v>0.107</v>
      </c>
    </row>
    <row r="137" spans="1:60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  <c r="I137" s="57">
        <v>0.10100000000000001</v>
      </c>
      <c r="L137" s="57">
        <v>0.05</v>
      </c>
      <c r="O137" s="57">
        <v>0.12</v>
      </c>
      <c r="R137" s="57">
        <v>0.113</v>
      </c>
      <c r="U137" s="57">
        <v>0.14399999999999999</v>
      </c>
      <c r="AG137" s="57">
        <v>1.9108000000000001</v>
      </c>
      <c r="AH137" s="57">
        <v>0.98660000000000003</v>
      </c>
      <c r="AK137" s="57">
        <v>7.5200000000000003E-2</v>
      </c>
      <c r="AL137" s="57">
        <v>4.1000000000000002E-2</v>
      </c>
      <c r="AN137" s="57">
        <v>5.33E-2</v>
      </c>
      <c r="AO137" s="57">
        <v>2.9000000000000001E-2</v>
      </c>
      <c r="AQ137" s="57">
        <v>8.2100000000000006E-2</v>
      </c>
      <c r="AR137" s="57">
        <v>4.5999999999999999E-2</v>
      </c>
    </row>
    <row r="138" spans="1:60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  <c r="I138" s="57">
        <v>0.50800000000000001</v>
      </c>
      <c r="L138" s="57">
        <v>0.47499999999999998</v>
      </c>
      <c r="O138" s="57">
        <v>0.42399999999999999</v>
      </c>
      <c r="R138" s="57">
        <v>0.39100000000000001</v>
      </c>
      <c r="U138" s="57">
        <v>0.39400000000000002</v>
      </c>
      <c r="AJ138" s="57">
        <v>2.2999999999999998</v>
      </c>
      <c r="AK138" s="57">
        <v>0.1134</v>
      </c>
      <c r="AL138" s="57">
        <v>6.5000000000000002E-2</v>
      </c>
      <c r="AM138" s="57">
        <v>3.5</v>
      </c>
      <c r="AN138" s="57">
        <v>0.1009</v>
      </c>
      <c r="AO138" s="57">
        <v>5.8999999999999997E-2</v>
      </c>
      <c r="AP138" s="57">
        <v>2.5</v>
      </c>
      <c r="AQ138" s="57">
        <v>8.8800000000000004E-2</v>
      </c>
      <c r="AR138" s="57">
        <v>5.0999999999999997E-2</v>
      </c>
      <c r="AS138" s="57">
        <v>2.1</v>
      </c>
      <c r="AT138" s="57">
        <v>9.2899999999999996E-2</v>
      </c>
      <c r="AU138" s="57">
        <v>5.3999999999999999E-2</v>
      </c>
    </row>
    <row r="139" spans="1:60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  <c r="I139" s="57">
        <v>0.60799999999999998</v>
      </c>
      <c r="L139" s="57">
        <v>0.52800000000000002</v>
      </c>
      <c r="O139" s="57">
        <v>0.58199999999999996</v>
      </c>
      <c r="AG139" s="57">
        <v>2.3895</v>
      </c>
      <c r="AH139" s="57">
        <v>1.1726000000000001</v>
      </c>
      <c r="AK139" s="57">
        <v>8.8599999999999998E-2</v>
      </c>
      <c r="AL139" s="57">
        <v>4.9000000000000002E-2</v>
      </c>
      <c r="AN139" s="57">
        <v>0.1187</v>
      </c>
      <c r="AO139" s="57">
        <v>6.8000000000000005E-2</v>
      </c>
      <c r="AQ139" s="57">
        <v>0.1671</v>
      </c>
      <c r="AR139" s="57">
        <v>9.2999999999999999E-2</v>
      </c>
    </row>
    <row r="140" spans="1:60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  <c r="I140" s="57">
        <v>0.47499999999999998</v>
      </c>
      <c r="L140" s="57">
        <v>0.68799999999999994</v>
      </c>
      <c r="O140" s="57">
        <v>0.42799999999999999</v>
      </c>
      <c r="R140" s="57">
        <v>0.55600000000000005</v>
      </c>
      <c r="AG140" s="57">
        <v>2.0868000000000002</v>
      </c>
      <c r="AH140" s="57">
        <v>1.1283000000000001</v>
      </c>
      <c r="AK140" s="57">
        <v>0.15379999999999999</v>
      </c>
      <c r="AL140" s="57">
        <v>9.0999999999999998E-2</v>
      </c>
      <c r="AN140" s="57">
        <v>0.2288</v>
      </c>
      <c r="AO140" s="57">
        <v>0.13200000000000001</v>
      </c>
      <c r="AQ140" s="57">
        <v>0.20810000000000001</v>
      </c>
      <c r="AR140" s="57">
        <v>0.121</v>
      </c>
    </row>
    <row r="141" spans="1:60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  <c r="I141" s="57">
        <v>0.158</v>
      </c>
      <c r="L141" s="57">
        <v>0.215</v>
      </c>
      <c r="O141" s="57">
        <v>0.218</v>
      </c>
      <c r="R141" s="57">
        <v>0.32400000000000001</v>
      </c>
      <c r="U141" s="57">
        <v>0.25800000000000001</v>
      </c>
      <c r="AG141" s="57">
        <v>1.7182999999999999</v>
      </c>
      <c r="AH141" s="57">
        <v>0.87849999999999995</v>
      </c>
      <c r="AK141" s="57">
        <v>0.31180000000000002</v>
      </c>
      <c r="AL141" s="57">
        <v>0.17899999999999999</v>
      </c>
      <c r="AN141" s="57">
        <v>0.31850000000000001</v>
      </c>
      <c r="AO141" s="57">
        <v>0.17499999999999999</v>
      </c>
      <c r="AQ141" s="57">
        <v>0.32519999999999999</v>
      </c>
      <c r="AR141" s="57">
        <v>0.17899999999999999</v>
      </c>
    </row>
    <row r="142" spans="1:60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  <c r="I142" s="57">
        <v>6.5000000000000002E-2</v>
      </c>
      <c r="L142" s="57">
        <v>0.222</v>
      </c>
      <c r="O142" s="57">
        <v>0.26800000000000002</v>
      </c>
      <c r="R142" s="57">
        <v>0.18</v>
      </c>
      <c r="U142" s="57">
        <v>0.20799999999999999</v>
      </c>
      <c r="AG142" s="57">
        <v>2.6676000000000002</v>
      </c>
      <c r="AH142" s="57">
        <v>1.4601</v>
      </c>
      <c r="AK142" s="57">
        <v>0.1837</v>
      </c>
      <c r="AL142" s="57">
        <v>0.105</v>
      </c>
      <c r="AN142" s="57">
        <v>0.31009999999999999</v>
      </c>
      <c r="AO142" s="57">
        <v>0.17799999999999999</v>
      </c>
      <c r="AQ142" s="57">
        <v>0.3095</v>
      </c>
      <c r="AR142" s="57">
        <v>0.17899999999999999</v>
      </c>
    </row>
    <row r="143" spans="1:60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  <c r="I143" s="57">
        <v>0.21199999999999999</v>
      </c>
      <c r="L143" s="57">
        <v>0.188</v>
      </c>
      <c r="O143" s="57">
        <v>0.32800000000000001</v>
      </c>
      <c r="R143" s="57">
        <v>0.248</v>
      </c>
      <c r="AG143" s="57">
        <v>1.6819</v>
      </c>
      <c r="AH143" s="57">
        <v>0.85760000000000003</v>
      </c>
      <c r="AN143" s="57">
        <v>0.1399</v>
      </c>
      <c r="AO143" s="57">
        <v>8.1100000000000005E-2</v>
      </c>
      <c r="AQ143" s="57">
        <v>0.1792</v>
      </c>
      <c r="AR143" s="57">
        <v>0.1024</v>
      </c>
    </row>
    <row r="144" spans="1:60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  <c r="I144" s="57">
        <v>0.36499999999999999</v>
      </c>
      <c r="L144" s="57">
        <v>0.23400000000000001</v>
      </c>
      <c r="O144" s="57">
        <v>0.626</v>
      </c>
      <c r="R144" s="57">
        <v>0.68</v>
      </c>
      <c r="U144" s="57">
        <v>0.62</v>
      </c>
      <c r="AG144" s="57">
        <v>4.49</v>
      </c>
      <c r="AH144" s="57">
        <v>1.6767000000000001</v>
      </c>
      <c r="AK144" s="57">
        <v>0.1166</v>
      </c>
      <c r="AL144" s="57">
        <v>4.8000000000000001E-2</v>
      </c>
      <c r="AN144" s="57">
        <v>0.1076</v>
      </c>
      <c r="AO144" s="57">
        <v>4.4999999999999998E-2</v>
      </c>
      <c r="AQ144" s="57">
        <v>0.37269999999999998</v>
      </c>
      <c r="AR144" s="57">
        <v>0.159</v>
      </c>
    </row>
    <row r="145" spans="1:60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  <c r="I145" s="57">
        <v>0.71799999999999997</v>
      </c>
      <c r="L145" s="57">
        <v>0.55400000000000005</v>
      </c>
      <c r="O145" s="57">
        <v>0.628</v>
      </c>
      <c r="R145" s="57">
        <v>0.88600000000000001</v>
      </c>
      <c r="U145" s="57">
        <v>0.83599999999999997</v>
      </c>
      <c r="AG145" s="57">
        <v>2.2227000000000001</v>
      </c>
      <c r="AH145" s="57">
        <v>0.86609999999999998</v>
      </c>
      <c r="AJ145" s="57">
        <v>1.45</v>
      </c>
      <c r="AK145" s="57">
        <v>0.1002</v>
      </c>
      <c r="AL145" s="57">
        <v>4.7E-2</v>
      </c>
      <c r="AM145" s="57">
        <v>1.55</v>
      </c>
      <c r="AN145" s="57">
        <v>0.1381</v>
      </c>
      <c r="AO145" s="57">
        <v>5.8999999999999997E-2</v>
      </c>
      <c r="AP145" s="57">
        <v>1.8</v>
      </c>
      <c r="AQ145" s="57">
        <v>6.5299999999999997E-2</v>
      </c>
      <c r="AR145" s="57">
        <v>2.7E-2</v>
      </c>
      <c r="AT145" s="57">
        <v>0.15290000000000001</v>
      </c>
      <c r="AU145" s="57">
        <v>6.6000000000000003E-2</v>
      </c>
    </row>
    <row r="146" spans="1:60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  <c r="I146" s="57">
        <v>0.70599999999999996</v>
      </c>
      <c r="L146" s="57">
        <v>1.1559999999999999</v>
      </c>
      <c r="O146" s="57">
        <v>1</v>
      </c>
      <c r="R146" s="57">
        <v>0.35499999999999998</v>
      </c>
      <c r="U146" s="57">
        <v>0.58599999999999997</v>
      </c>
      <c r="X146" s="57">
        <v>0.91900000000000004</v>
      </c>
      <c r="AG146" s="57">
        <v>2.1511999999999998</v>
      </c>
      <c r="AH146" s="57">
        <v>0.90510000000000002</v>
      </c>
      <c r="AJ146" s="57">
        <v>2.1</v>
      </c>
      <c r="AK146" s="57">
        <v>7.7399999999999997E-2</v>
      </c>
      <c r="AL146" s="57">
        <v>3.1199999999999999E-2</v>
      </c>
      <c r="AM146" s="57">
        <v>2.5</v>
      </c>
      <c r="AN146" s="57">
        <v>0.13619999999999999</v>
      </c>
      <c r="AO146" s="57">
        <v>6.5000000000000002E-2</v>
      </c>
      <c r="AP146" s="57">
        <v>2.8</v>
      </c>
    </row>
    <row r="147" spans="1:60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  <c r="I147" s="57">
        <v>0.498</v>
      </c>
      <c r="L147" s="57">
        <v>0.76800000000000002</v>
      </c>
      <c r="O147" s="57">
        <v>0.58699999999999997</v>
      </c>
      <c r="AG147" s="57">
        <v>1.8527</v>
      </c>
      <c r="AH147" s="57">
        <v>0.82520000000000004</v>
      </c>
      <c r="AK147" s="57">
        <v>0.52490000000000003</v>
      </c>
      <c r="AL147" s="57">
        <v>0.27100000000000002</v>
      </c>
      <c r="AN147" s="57">
        <v>0.28760000000000002</v>
      </c>
      <c r="AO147" s="57">
        <v>0.14799999999999999</v>
      </c>
      <c r="AQ147" s="57">
        <v>0.3881</v>
      </c>
      <c r="AR147" s="57">
        <v>0.20100000000000001</v>
      </c>
    </row>
    <row r="148" spans="1:60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  <c r="I148" s="57">
        <v>0.878</v>
      </c>
      <c r="L148" s="57">
        <v>0.40200000000000002</v>
      </c>
      <c r="O148" s="57">
        <v>0.76800000000000002</v>
      </c>
      <c r="R148" s="57">
        <v>0.51900000000000002</v>
      </c>
      <c r="U148" s="57">
        <v>0.28999999999999998</v>
      </c>
      <c r="AG148" s="57">
        <v>2.2850000000000001</v>
      </c>
      <c r="AH148" s="57">
        <v>0.83279999999999998</v>
      </c>
      <c r="AK148" s="57">
        <v>0.3916</v>
      </c>
      <c r="AL148" s="57">
        <v>0.151</v>
      </c>
      <c r="AN148" s="57">
        <v>0.59819999999999995</v>
      </c>
      <c r="AO148" s="57">
        <v>0.23499999999999999</v>
      </c>
      <c r="AQ148" s="57">
        <v>0.3972</v>
      </c>
      <c r="AR148" s="57">
        <v>0.156</v>
      </c>
    </row>
    <row r="149" spans="1:60" x14ac:dyDescent="0.2">
      <c r="A149" s="57" t="s">
        <v>114</v>
      </c>
      <c r="B149" s="76" t="s">
        <v>133</v>
      </c>
      <c r="C149" s="82"/>
      <c r="D149" s="54" t="s">
        <v>64</v>
      </c>
      <c r="E149" s="83">
        <v>2011</v>
      </c>
      <c r="F149" s="82"/>
      <c r="G149" s="82"/>
      <c r="H149" s="82"/>
      <c r="I149" s="83">
        <v>1.05</v>
      </c>
      <c r="J149" s="82"/>
      <c r="K149" s="82"/>
      <c r="L149" s="83">
        <v>0.61699999999999999</v>
      </c>
      <c r="M149" s="82"/>
      <c r="N149" s="82"/>
      <c r="O149" s="83">
        <v>0.90200000000000002</v>
      </c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3">
        <v>0.92500000000000004</v>
      </c>
      <c r="AH149" s="83">
        <v>0.46860000000000002</v>
      </c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</row>
    <row r="150" spans="1:60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</row>
    <row r="151" spans="1:60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</row>
    <row r="152" spans="1:60" x14ac:dyDescent="0.2">
      <c r="A152" s="57" t="s">
        <v>134</v>
      </c>
      <c r="B152" s="76" t="s">
        <v>135</v>
      </c>
      <c r="D152" s="54" t="s">
        <v>64</v>
      </c>
      <c r="E152" s="57">
        <v>2008</v>
      </c>
      <c r="I152" s="57">
        <v>0.69799999999999995</v>
      </c>
      <c r="L152" s="57">
        <v>0.65500000000000003</v>
      </c>
      <c r="AG152" s="57">
        <v>1.0185999999999999</v>
      </c>
      <c r="AH152" s="57">
        <v>0.52690000000000003</v>
      </c>
      <c r="AJ152" s="57">
        <v>1.8</v>
      </c>
      <c r="AK152" s="57">
        <v>0.15010000000000001</v>
      </c>
      <c r="AL152" s="57">
        <v>8.3000000000000004E-2</v>
      </c>
      <c r="AM152" s="57">
        <v>2.1</v>
      </c>
      <c r="AN152" s="57">
        <v>0.14499999999999999</v>
      </c>
      <c r="AO152" s="57">
        <v>8.1000000000000003E-2</v>
      </c>
      <c r="AP152" s="57">
        <v>1.75</v>
      </c>
      <c r="AQ152" s="57">
        <v>8.7800000000000003E-2</v>
      </c>
      <c r="AR152" s="57">
        <v>4.8000000000000001E-2</v>
      </c>
    </row>
    <row r="153" spans="1:60" x14ac:dyDescent="0.2">
      <c r="D153" s="3"/>
    </row>
    <row r="154" spans="1:60" x14ac:dyDescent="0.2">
      <c r="D154" s="3"/>
    </row>
    <row r="155" spans="1:60" x14ac:dyDescent="0.2">
      <c r="D155" s="3"/>
    </row>
    <row r="156" spans="1:60" x14ac:dyDescent="0.2">
      <c r="D156" s="3"/>
    </row>
    <row r="157" spans="1:60" x14ac:dyDescent="0.2">
      <c r="D157" s="3"/>
    </row>
    <row r="158" spans="1:60" x14ac:dyDescent="0.2">
      <c r="D158" s="3"/>
    </row>
    <row r="159" spans="1:60" x14ac:dyDescent="0.2">
      <c r="D159" s="3"/>
    </row>
    <row r="160" spans="1:60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H325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0" x14ac:dyDescent="0.2">
      <c r="C1" s="74" t="s">
        <v>207</v>
      </c>
      <c r="D1" s="1"/>
      <c r="E1" s="1"/>
    </row>
    <row r="3" spans="1:60" x14ac:dyDescent="0.2">
      <c r="C3" s="12" t="s">
        <v>1</v>
      </c>
      <c r="D3" s="38" t="s">
        <v>208</v>
      </c>
      <c r="E3" s="12"/>
    </row>
    <row r="4" spans="1:60" x14ac:dyDescent="0.2">
      <c r="C4" s="12" t="s">
        <v>3</v>
      </c>
      <c r="D4" s="77">
        <v>44657</v>
      </c>
    </row>
    <row r="6" spans="1:60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</row>
    <row r="7" spans="1:60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AK7" s="57">
        <v>0.22589999999999999</v>
      </c>
      <c r="AL7" s="57">
        <v>0.14000000000000001</v>
      </c>
      <c r="AN7" s="57">
        <v>0.2303</v>
      </c>
      <c r="AO7" s="57">
        <v>0.14399999999999999</v>
      </c>
      <c r="AQ7" s="57">
        <v>0.2281</v>
      </c>
      <c r="AR7" s="57">
        <v>0.14599999999999999</v>
      </c>
      <c r="AT7" s="57">
        <v>0.1832</v>
      </c>
      <c r="AU7" s="57">
        <v>0.114</v>
      </c>
    </row>
    <row r="8" spans="1:60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  <c r="AJ8" s="57">
        <v>3.51</v>
      </c>
      <c r="AM8" s="57">
        <v>3.35</v>
      </c>
      <c r="AP8" s="57">
        <v>4.0999999999999996</v>
      </c>
      <c r="AS8" s="57">
        <v>2.4</v>
      </c>
    </row>
    <row r="9" spans="1:60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F9" s="57">
        <v>2</v>
      </c>
      <c r="G9" s="84">
        <v>44625</v>
      </c>
      <c r="AJ9" s="57">
        <v>3.55</v>
      </c>
      <c r="AK9" s="57">
        <v>0.16470000000000001</v>
      </c>
      <c r="AL9" s="57">
        <v>8.3599999999999994E-2</v>
      </c>
      <c r="AM9" s="57">
        <v>4.3</v>
      </c>
      <c r="AN9" s="57">
        <v>0.26040000000000002</v>
      </c>
      <c r="AO9" s="57">
        <v>0.16300000000000001</v>
      </c>
      <c r="AP9" s="57">
        <v>3.75</v>
      </c>
      <c r="AQ9" s="57">
        <v>0.24079999999999999</v>
      </c>
      <c r="AR9" s="57">
        <v>0.1226</v>
      </c>
    </row>
    <row r="10" spans="1:60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  <c r="F10" s="57">
        <v>7</v>
      </c>
      <c r="G10" s="57">
        <v>9</v>
      </c>
    </row>
    <row r="11" spans="1:60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0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  <c r="F12" s="57">
        <v>7</v>
      </c>
    </row>
    <row r="13" spans="1:60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  <c r="F13" s="57">
        <v>10</v>
      </c>
      <c r="G13" s="57">
        <v>10</v>
      </c>
    </row>
    <row r="14" spans="1:60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0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</row>
    <row r="16" spans="1:60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  <c r="F16" s="57">
        <v>9</v>
      </c>
      <c r="G16" s="57">
        <v>9</v>
      </c>
    </row>
    <row r="17" spans="1:44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44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F18" s="57">
        <v>10</v>
      </c>
      <c r="G18" s="57">
        <v>10</v>
      </c>
      <c r="AJ18" s="57">
        <v>3</v>
      </c>
      <c r="AK18" s="57">
        <v>0.12820000000000001</v>
      </c>
      <c r="AL18" s="57">
        <v>7.0999999999999994E-2</v>
      </c>
      <c r="AM18" s="57">
        <v>3.25</v>
      </c>
      <c r="AN18" s="57">
        <v>0.14460000000000001</v>
      </c>
      <c r="AO18" s="57">
        <v>7.8E-2</v>
      </c>
      <c r="AP18" s="57">
        <v>3.15</v>
      </c>
      <c r="AQ18" s="57">
        <v>0.107</v>
      </c>
      <c r="AR18" s="57">
        <v>5.8000000000000003E-2</v>
      </c>
    </row>
    <row r="19" spans="1:44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  <c r="F19" s="57">
        <v>10</v>
      </c>
      <c r="G19" s="57">
        <v>10</v>
      </c>
    </row>
    <row r="20" spans="1:44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44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  <c r="F21" s="57">
        <v>10</v>
      </c>
      <c r="G21" s="57">
        <v>10</v>
      </c>
    </row>
    <row r="22" spans="1:44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  <c r="F22" s="57">
        <v>10</v>
      </c>
      <c r="G22" s="57">
        <v>10</v>
      </c>
    </row>
    <row r="23" spans="1:44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  <c r="F23" s="57">
        <v>9</v>
      </c>
      <c r="G23" s="57">
        <v>10</v>
      </c>
    </row>
    <row r="24" spans="1:44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F24" s="57">
        <v>9</v>
      </c>
      <c r="G24" s="57">
        <v>9</v>
      </c>
      <c r="AJ24" s="57">
        <v>2.4500000000000002</v>
      </c>
      <c r="AK24" s="57">
        <v>8.8200000000000001E-2</v>
      </c>
      <c r="AL24" s="57">
        <v>4.5900000000000003E-2</v>
      </c>
      <c r="AM24" s="57">
        <v>2.35</v>
      </c>
      <c r="AN24" s="57">
        <v>0.1124</v>
      </c>
      <c r="AO24" s="57">
        <v>5.8700000000000002E-2</v>
      </c>
      <c r="AP24" s="57">
        <v>2.4</v>
      </c>
      <c r="AQ24" s="57">
        <v>9.6500000000000002E-2</v>
      </c>
      <c r="AR24" s="57">
        <v>5.0200000000000002E-2</v>
      </c>
    </row>
    <row r="25" spans="1:44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  <c r="F25" s="57">
        <v>8</v>
      </c>
      <c r="G25" s="57">
        <v>9</v>
      </c>
    </row>
    <row r="26" spans="1:44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44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F27" s="57">
        <v>9</v>
      </c>
      <c r="G27" s="57">
        <v>9</v>
      </c>
      <c r="AJ27" s="57">
        <v>2.25</v>
      </c>
      <c r="AK27" s="57">
        <v>7.6999999999999999E-2</v>
      </c>
      <c r="AL27" s="57">
        <v>3.9E-2</v>
      </c>
      <c r="AM27" s="57">
        <v>2.25</v>
      </c>
      <c r="AN27" s="57">
        <v>0.1081</v>
      </c>
      <c r="AO27" s="57">
        <v>5.6399999999999999E-2</v>
      </c>
      <c r="AP27" s="57" t="s">
        <v>286</v>
      </c>
      <c r="AQ27" s="57">
        <v>9.5600000000000004E-2</v>
      </c>
      <c r="AR27" s="57">
        <v>4.8599999999999997E-2</v>
      </c>
    </row>
    <row r="28" spans="1:44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44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44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F30" s="57">
        <v>9</v>
      </c>
      <c r="G30" s="57">
        <v>9</v>
      </c>
      <c r="AJ30" s="57">
        <v>2.9</v>
      </c>
      <c r="AK30" s="57">
        <v>0.15310000000000001</v>
      </c>
      <c r="AL30" s="57">
        <v>7.9200000000000007E-2</v>
      </c>
      <c r="AM30" s="57">
        <v>2.35</v>
      </c>
      <c r="AN30" s="57">
        <v>0.14899999999999999</v>
      </c>
      <c r="AO30" s="57">
        <v>7.46E-2</v>
      </c>
      <c r="AP30" s="57">
        <v>2.65</v>
      </c>
      <c r="AQ30" s="57">
        <v>0.11609999999999999</v>
      </c>
      <c r="AR30" s="57">
        <v>5.8700000000000002E-2</v>
      </c>
    </row>
    <row r="31" spans="1:44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AJ31" s="57">
        <v>3.1</v>
      </c>
      <c r="AK31" s="57">
        <v>0.30309999999999998</v>
      </c>
      <c r="AL31" s="57">
        <v>0.18679999999999999</v>
      </c>
      <c r="AM31" s="57">
        <v>2.6</v>
      </c>
      <c r="AN31" s="57">
        <v>0.22819999999999999</v>
      </c>
      <c r="AO31" s="57">
        <v>0.14000000000000001</v>
      </c>
      <c r="AP31" s="57">
        <v>2.7</v>
      </c>
      <c r="AQ31" s="57">
        <v>0.61519999999999997</v>
      </c>
      <c r="AR31" s="57">
        <v>0.37019999999999997</v>
      </c>
    </row>
    <row r="32" spans="1:44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AJ32" s="57">
        <v>2.78</v>
      </c>
      <c r="AK32" s="57">
        <v>0.20960000000000001</v>
      </c>
      <c r="AL32" s="57">
        <v>0.126</v>
      </c>
      <c r="AM32" s="57">
        <v>2.85</v>
      </c>
      <c r="AN32" s="57">
        <v>0.25109999999999999</v>
      </c>
      <c r="AO32" s="57">
        <v>0.152</v>
      </c>
    </row>
    <row r="33" spans="1:47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AJ33" s="57">
        <v>2.8</v>
      </c>
      <c r="AK33" s="57">
        <v>0.15359999999999999</v>
      </c>
      <c r="AL33" s="57">
        <v>8.1000000000000003E-2</v>
      </c>
      <c r="AM33" s="57">
        <v>2.95</v>
      </c>
      <c r="AN33" s="57">
        <v>0.14779999999999999</v>
      </c>
      <c r="AO33" s="57">
        <v>7.9000000000000001E-2</v>
      </c>
      <c r="AP33" s="57">
        <v>2.8</v>
      </c>
      <c r="AQ33" s="57">
        <v>0.1522</v>
      </c>
      <c r="AR33" s="57">
        <v>8.1000000000000003E-2</v>
      </c>
      <c r="AT33" s="57">
        <v>9.01E-2</v>
      </c>
      <c r="AU33" s="57">
        <v>3.6600000000000001E-2</v>
      </c>
    </row>
    <row r="34" spans="1:47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G34" s="57">
        <v>5</v>
      </c>
      <c r="AJ34" s="57">
        <v>2.5499999999999998</v>
      </c>
      <c r="AK34" s="57">
        <v>0.11210000000000001</v>
      </c>
      <c r="AL34" s="57">
        <v>6.0999999999999999E-2</v>
      </c>
      <c r="AM34" s="57">
        <v>2.5499999999999998</v>
      </c>
      <c r="AN34" s="57">
        <v>8.8200000000000001E-2</v>
      </c>
      <c r="AO34" s="57">
        <v>4.7E-2</v>
      </c>
      <c r="AP34" s="57" t="s">
        <v>286</v>
      </c>
      <c r="AQ34" s="57">
        <v>0.1804</v>
      </c>
      <c r="AR34" s="57">
        <v>5.8400000000000001E-2</v>
      </c>
    </row>
    <row r="35" spans="1:47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AJ35" s="57">
        <v>3.5</v>
      </c>
      <c r="AM35" s="57">
        <v>3.2</v>
      </c>
      <c r="AN35" s="57">
        <v>0.17780000000000001</v>
      </c>
      <c r="AO35" s="57">
        <v>0.115</v>
      </c>
      <c r="AP35" s="57">
        <v>2.9</v>
      </c>
      <c r="AQ35" s="57">
        <v>0.1411</v>
      </c>
      <c r="AR35" s="57">
        <v>8.9800000000000005E-2</v>
      </c>
    </row>
    <row r="36" spans="1:47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  <c r="F36" s="57">
        <v>6</v>
      </c>
      <c r="G36" s="57">
        <v>6</v>
      </c>
    </row>
    <row r="37" spans="1:47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  <c r="F37" s="57">
        <v>6</v>
      </c>
      <c r="G37" s="57">
        <v>6</v>
      </c>
    </row>
    <row r="38" spans="1:47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  <c r="F38" s="57">
        <v>5</v>
      </c>
      <c r="G38" s="57">
        <v>6</v>
      </c>
    </row>
    <row r="39" spans="1:47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  <c r="F39" s="57">
        <v>4</v>
      </c>
      <c r="G39" s="57">
        <v>4</v>
      </c>
    </row>
    <row r="40" spans="1:47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  <c r="F40" s="57">
        <v>5</v>
      </c>
      <c r="G40" s="57">
        <v>5</v>
      </c>
    </row>
    <row r="41" spans="1:47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  <c r="F41" s="57">
        <v>5</v>
      </c>
      <c r="G41" s="57">
        <v>6</v>
      </c>
    </row>
    <row r="42" spans="1:47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F42" s="57">
        <v>7</v>
      </c>
      <c r="G42" s="57">
        <v>7</v>
      </c>
      <c r="AJ42" s="57">
        <v>2.7</v>
      </c>
      <c r="AK42" s="57">
        <v>0.1376</v>
      </c>
      <c r="AL42" s="57">
        <v>6.83E-2</v>
      </c>
      <c r="AM42" s="57">
        <v>2.6</v>
      </c>
      <c r="AN42" s="57">
        <v>0.1671</v>
      </c>
      <c r="AO42" s="57">
        <v>8.3199999999999996E-2</v>
      </c>
      <c r="AP42" s="57" t="s">
        <v>286</v>
      </c>
      <c r="AQ42" s="57">
        <v>0.11119999999999999</v>
      </c>
      <c r="AR42" s="57">
        <v>5.33E-2</v>
      </c>
    </row>
    <row r="43" spans="1:47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47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  <c r="F44" s="57">
        <v>5</v>
      </c>
      <c r="G44" s="57">
        <v>7</v>
      </c>
    </row>
    <row r="45" spans="1:47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47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F46" s="57">
        <v>4</v>
      </c>
      <c r="G46" s="57">
        <v>5</v>
      </c>
      <c r="AJ46" s="57">
        <v>3.7</v>
      </c>
      <c r="AK46" s="57">
        <v>0.1991</v>
      </c>
      <c r="AL46" s="57">
        <v>0.11749999999999999</v>
      </c>
      <c r="AM46" s="57">
        <v>3.6</v>
      </c>
      <c r="AP46" s="57" t="s">
        <v>286</v>
      </c>
      <c r="AQ46" s="57">
        <v>0.16969999999999999</v>
      </c>
      <c r="AR46" s="57">
        <v>0.1023</v>
      </c>
    </row>
    <row r="47" spans="1:47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F47" s="57">
        <v>4</v>
      </c>
      <c r="G47" s="57">
        <v>5</v>
      </c>
      <c r="AJ47" s="57">
        <v>3.2</v>
      </c>
      <c r="AK47" s="57">
        <v>0.10639999999999999</v>
      </c>
      <c r="AL47" s="57">
        <v>5.3600000000000002E-2</v>
      </c>
      <c r="AM47" s="57">
        <v>2.9</v>
      </c>
      <c r="AN47" s="57">
        <v>7.0300000000000001E-2</v>
      </c>
      <c r="AO47" s="57">
        <v>3.5299999999999998E-2</v>
      </c>
      <c r="AP47" s="57">
        <v>3</v>
      </c>
      <c r="AQ47" s="57">
        <v>8.2000000000000003E-2</v>
      </c>
      <c r="AR47" s="57">
        <v>4.19E-2</v>
      </c>
    </row>
    <row r="48" spans="1:47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F48" s="57">
        <v>6</v>
      </c>
      <c r="G48" s="57">
        <v>7</v>
      </c>
      <c r="AJ48" s="57">
        <v>2.2000000000000002</v>
      </c>
      <c r="AK48" s="57">
        <v>0.1326</v>
      </c>
      <c r="AL48" s="57">
        <v>5.8099999999999999E-2</v>
      </c>
      <c r="AM48" s="57">
        <v>2.4</v>
      </c>
      <c r="AN48" s="57">
        <v>8.2299999999999998E-2</v>
      </c>
      <c r="AO48" s="57">
        <v>4.02E-2</v>
      </c>
      <c r="AP48" s="57">
        <v>2.5</v>
      </c>
      <c r="AQ48" s="57">
        <v>0.1804</v>
      </c>
      <c r="AR48" s="57">
        <v>8.72E-2</v>
      </c>
    </row>
    <row r="49" spans="1:44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  <c r="F49" s="57">
        <v>6</v>
      </c>
      <c r="G49" s="57">
        <v>7</v>
      </c>
    </row>
    <row r="50" spans="1:44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  <c r="F50" s="57">
        <v>6</v>
      </c>
      <c r="G50" s="57">
        <v>6</v>
      </c>
    </row>
    <row r="51" spans="1:44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  <c r="F51" s="57">
        <v>4</v>
      </c>
      <c r="G51" s="57" t="s">
        <v>287</v>
      </c>
    </row>
    <row r="52" spans="1:44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  <c r="F52" s="57">
        <v>5</v>
      </c>
      <c r="G52" s="57" t="s">
        <v>288</v>
      </c>
    </row>
    <row r="53" spans="1:44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F53" s="57">
        <v>5</v>
      </c>
      <c r="G53" s="57" t="s">
        <v>289</v>
      </c>
      <c r="AJ53" s="57">
        <v>2.8</v>
      </c>
      <c r="AK53" s="57">
        <v>8.3699999999999997E-2</v>
      </c>
      <c r="AL53" s="57">
        <v>3.9899999999999998E-2</v>
      </c>
      <c r="AM53" s="57">
        <v>2.8</v>
      </c>
      <c r="AN53" s="57">
        <v>9.7900000000000001E-2</v>
      </c>
      <c r="AO53" s="57">
        <v>4.8000000000000001E-2</v>
      </c>
      <c r="AP53" s="57" t="s">
        <v>286</v>
      </c>
      <c r="AQ53" s="57">
        <v>7.1999999999999995E-2</v>
      </c>
      <c r="AR53" s="57">
        <v>3.4099999999999998E-2</v>
      </c>
    </row>
    <row r="54" spans="1:44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  <c r="G54" s="57">
        <v>7</v>
      </c>
    </row>
    <row r="55" spans="1:44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</row>
    <row r="56" spans="1:44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  <c r="G56" s="57">
        <v>6</v>
      </c>
    </row>
    <row r="57" spans="1:44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  <c r="G57" s="57">
        <v>7</v>
      </c>
    </row>
    <row r="58" spans="1:44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  <c r="F58" s="57">
        <v>5</v>
      </c>
      <c r="G58" s="57">
        <v>5</v>
      </c>
    </row>
    <row r="59" spans="1:44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  <c r="F59" s="57">
        <v>5</v>
      </c>
      <c r="G59" s="57">
        <v>8</v>
      </c>
    </row>
    <row r="60" spans="1:44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  <c r="F60" s="57">
        <v>7</v>
      </c>
      <c r="G60" s="57">
        <v>7</v>
      </c>
    </row>
    <row r="61" spans="1:44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  <c r="F61" s="57">
        <v>6</v>
      </c>
      <c r="G61" s="57" t="s">
        <v>290</v>
      </c>
    </row>
    <row r="62" spans="1:44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  <c r="F62" s="57">
        <v>7</v>
      </c>
      <c r="G62" s="57" t="s">
        <v>290</v>
      </c>
    </row>
    <row r="63" spans="1:44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  <c r="F63" s="57">
        <v>6</v>
      </c>
      <c r="G63" s="57" t="s">
        <v>290</v>
      </c>
    </row>
    <row r="64" spans="1:44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  <c r="F64" s="57">
        <v>8</v>
      </c>
      <c r="G64" s="57">
        <v>5</v>
      </c>
    </row>
    <row r="65" spans="1:44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  <c r="F65" s="57">
        <v>7</v>
      </c>
      <c r="G65" s="57">
        <v>8</v>
      </c>
    </row>
    <row r="66" spans="1:44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  <c r="F66" s="57">
        <v>5</v>
      </c>
      <c r="G66" s="57">
        <v>6</v>
      </c>
    </row>
    <row r="67" spans="1:44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  <c r="F67" s="57">
        <v>0</v>
      </c>
      <c r="G67" s="57">
        <v>8</v>
      </c>
    </row>
    <row r="68" spans="1:44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  <c r="F68" s="57" t="s">
        <v>288</v>
      </c>
      <c r="G68" s="57">
        <v>6</v>
      </c>
    </row>
    <row r="69" spans="1:44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  <c r="F69" s="57">
        <v>7</v>
      </c>
      <c r="G69" s="57">
        <v>7</v>
      </c>
    </row>
    <row r="70" spans="1:44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  <c r="F70" s="57">
        <v>7</v>
      </c>
      <c r="G70" s="57">
        <v>7</v>
      </c>
    </row>
    <row r="71" spans="1:44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  <c r="F71" s="57">
        <v>6</v>
      </c>
      <c r="G71" s="57" t="s">
        <v>290</v>
      </c>
    </row>
    <row r="72" spans="1:44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  <c r="F72" s="57">
        <v>7</v>
      </c>
      <c r="G72" s="57">
        <v>7</v>
      </c>
    </row>
    <row r="73" spans="1:44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  <c r="F73" s="57">
        <v>7</v>
      </c>
    </row>
    <row r="74" spans="1:44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  <c r="F74" s="57">
        <v>7</v>
      </c>
    </row>
    <row r="75" spans="1:44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F75" s="57" t="s">
        <v>291</v>
      </c>
      <c r="G75" s="57" t="s">
        <v>292</v>
      </c>
      <c r="AJ75" s="57">
        <v>4.25</v>
      </c>
      <c r="AK75" s="57">
        <v>0.18229999999999999</v>
      </c>
      <c r="AL75" s="57">
        <v>0.1166</v>
      </c>
      <c r="AM75" s="57">
        <v>4.3499999999999996</v>
      </c>
      <c r="AN75" s="57">
        <v>0.1925</v>
      </c>
      <c r="AO75" s="57">
        <v>0.123</v>
      </c>
      <c r="AP75" s="57">
        <v>4.4000000000000004</v>
      </c>
      <c r="AQ75" s="57">
        <v>0.1681</v>
      </c>
      <c r="AR75" s="57">
        <v>0.11169999999999999</v>
      </c>
    </row>
    <row r="76" spans="1:44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  <c r="F76" s="57">
        <v>7</v>
      </c>
      <c r="G76" s="57">
        <v>7</v>
      </c>
    </row>
    <row r="77" spans="1:44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  <c r="F77" s="57">
        <v>4</v>
      </c>
      <c r="G77" s="57">
        <v>5</v>
      </c>
    </row>
    <row r="78" spans="1:44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  <c r="F78" s="57">
        <v>4</v>
      </c>
      <c r="G78" s="57">
        <v>5</v>
      </c>
    </row>
    <row r="79" spans="1:44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  <c r="F79" s="57">
        <v>4</v>
      </c>
      <c r="G79" s="57">
        <v>6</v>
      </c>
    </row>
    <row r="80" spans="1:44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  <c r="F80" s="57">
        <v>5</v>
      </c>
      <c r="G80" s="57">
        <v>6</v>
      </c>
    </row>
    <row r="81" spans="1:47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47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F82" s="57" t="s">
        <v>288</v>
      </c>
      <c r="G82" s="57">
        <v>8</v>
      </c>
      <c r="AJ82" s="57">
        <v>4</v>
      </c>
      <c r="AK82" s="57">
        <v>0.23069999999999999</v>
      </c>
      <c r="AL82" s="57">
        <v>0.14380000000000001</v>
      </c>
      <c r="AM82" s="57">
        <v>3.7</v>
      </c>
      <c r="AN82" s="57">
        <v>0.31809999999999999</v>
      </c>
      <c r="AO82" s="57">
        <v>0.19</v>
      </c>
      <c r="AP82" s="57">
        <v>3.4</v>
      </c>
      <c r="AQ82" s="57">
        <v>0.21010000000000001</v>
      </c>
      <c r="AR82" s="57">
        <v>0.12870000000000001</v>
      </c>
      <c r="AS82" s="57">
        <v>2.85</v>
      </c>
      <c r="AT82" s="57">
        <v>0.27200000000000002</v>
      </c>
      <c r="AU82" s="57">
        <v>0.1646</v>
      </c>
    </row>
    <row r="83" spans="1:47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  <c r="F83" s="57">
        <v>4</v>
      </c>
      <c r="G83" s="57">
        <v>5</v>
      </c>
    </row>
    <row r="84" spans="1:47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  <c r="F84" s="57">
        <v>3</v>
      </c>
      <c r="G84" s="57">
        <v>4</v>
      </c>
    </row>
    <row r="85" spans="1:47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  <c r="F85" s="57">
        <v>2</v>
      </c>
      <c r="G85" s="57">
        <v>4</v>
      </c>
    </row>
    <row r="86" spans="1:47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  <c r="F86" s="57">
        <v>4</v>
      </c>
      <c r="G86" s="57">
        <v>6</v>
      </c>
    </row>
    <row r="87" spans="1:47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  <c r="F87" s="57">
        <v>6</v>
      </c>
      <c r="G87" s="57">
        <v>6</v>
      </c>
    </row>
    <row r="88" spans="1:47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  <c r="F88" s="57">
        <v>7</v>
      </c>
      <c r="G88" s="57">
        <v>8</v>
      </c>
    </row>
    <row r="89" spans="1:47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  <c r="F89" s="57">
        <v>3</v>
      </c>
      <c r="G89" s="57">
        <v>4</v>
      </c>
    </row>
    <row r="90" spans="1:47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  <c r="F90" s="57">
        <v>4</v>
      </c>
      <c r="G90" s="57">
        <v>6</v>
      </c>
    </row>
    <row r="91" spans="1:47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F91" s="57">
        <v>3</v>
      </c>
      <c r="G91" s="57">
        <v>4</v>
      </c>
      <c r="AK91" s="57">
        <v>0.161</v>
      </c>
      <c r="AL91" s="57">
        <v>7.4300000000000005E-2</v>
      </c>
      <c r="AN91" s="57">
        <v>0.1585</v>
      </c>
      <c r="AO91" s="57">
        <v>7.8E-2</v>
      </c>
      <c r="AP91" s="57">
        <v>3.1</v>
      </c>
      <c r="AQ91" s="57">
        <v>0.438</v>
      </c>
      <c r="AR91" s="57">
        <v>0.19620000000000001</v>
      </c>
    </row>
    <row r="92" spans="1:47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F92" s="57">
        <v>5</v>
      </c>
      <c r="G92" s="57">
        <v>6</v>
      </c>
      <c r="AJ92" s="57">
        <v>2.7</v>
      </c>
      <c r="AK92" s="57">
        <v>3.5299999999999998E-2</v>
      </c>
      <c r="AL92" s="57">
        <v>1.6299999999999999E-2</v>
      </c>
      <c r="AM92" s="57">
        <v>2.6</v>
      </c>
      <c r="AN92" s="57">
        <v>8.7800000000000003E-2</v>
      </c>
      <c r="AO92" s="57">
        <v>3.7199999999999997E-2</v>
      </c>
      <c r="AP92" s="57" t="s">
        <v>286</v>
      </c>
    </row>
    <row r="93" spans="1:47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F93" s="57">
        <v>4</v>
      </c>
      <c r="G93" s="57">
        <v>5</v>
      </c>
      <c r="AJ93" s="57">
        <v>3.6</v>
      </c>
      <c r="AK93" s="57">
        <v>8.4599999999999995E-2</v>
      </c>
      <c r="AL93" s="57">
        <v>4.4299999999999999E-2</v>
      </c>
      <c r="AM93" s="57">
        <v>2.8</v>
      </c>
      <c r="AN93" s="57">
        <v>0.10879999999999999</v>
      </c>
      <c r="AO93" s="57">
        <v>5.3400000000000003E-2</v>
      </c>
      <c r="AP93" s="57">
        <v>2.85</v>
      </c>
      <c r="AQ93" s="57">
        <v>0.1234</v>
      </c>
      <c r="AR93" s="57">
        <v>6.2700000000000006E-2</v>
      </c>
    </row>
    <row r="94" spans="1:47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  <c r="F94" s="57">
        <v>5</v>
      </c>
      <c r="G94" s="57">
        <v>5</v>
      </c>
    </row>
    <row r="95" spans="1:47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47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53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53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53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53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53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53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53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53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53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53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53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AJ107" s="57">
        <v>2.7549999999999999</v>
      </c>
      <c r="AK107" s="57">
        <v>0.1421</v>
      </c>
      <c r="AL107" s="57">
        <v>7.8E-2</v>
      </c>
      <c r="AM107" s="57">
        <v>3.5</v>
      </c>
      <c r="AN107" s="57">
        <v>0.1389</v>
      </c>
      <c r="AO107" s="57">
        <v>7.5499999999999998E-2</v>
      </c>
      <c r="AP107" s="57">
        <v>2.65</v>
      </c>
      <c r="AQ107" s="57">
        <v>0.11260000000000001</v>
      </c>
      <c r="AR107" s="57">
        <v>6.1699999999999998E-2</v>
      </c>
    </row>
    <row r="108" spans="1:53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53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53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AJ110" s="57">
        <v>3.25</v>
      </c>
      <c r="AK110" s="57">
        <v>9.9400000000000002E-2</v>
      </c>
      <c r="AL110" s="57">
        <v>5.5899999999999998E-2</v>
      </c>
      <c r="AM110" s="57">
        <v>3.15</v>
      </c>
      <c r="AN110" s="57">
        <v>0.20130000000000001</v>
      </c>
      <c r="AO110" s="57">
        <v>0.10979999999999999</v>
      </c>
      <c r="AP110" s="57">
        <v>3.05</v>
      </c>
      <c r="AQ110" s="57">
        <v>5.67E-2</v>
      </c>
      <c r="AR110" s="57">
        <v>3.27E-2</v>
      </c>
      <c r="AS110" s="57" t="s">
        <v>286</v>
      </c>
      <c r="AT110" s="57">
        <v>9.3799999999999994E-2</v>
      </c>
      <c r="AU110" s="57">
        <v>5.1200000000000002E-2</v>
      </c>
    </row>
    <row r="111" spans="1:53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AJ111" s="57">
        <v>2.4500000000000002</v>
      </c>
      <c r="AK111" s="57">
        <v>0.126</v>
      </c>
      <c r="AL111" s="57">
        <v>6.9800000000000001E-2</v>
      </c>
      <c r="AM111" s="57">
        <v>2.5249999999999999</v>
      </c>
      <c r="AN111" s="57">
        <v>9.9000000000000005E-2</v>
      </c>
      <c r="AO111" s="57">
        <v>5.5E-2</v>
      </c>
      <c r="AP111" s="57">
        <v>2.4750000000000001</v>
      </c>
      <c r="AQ111" s="57">
        <v>0.14960000000000001</v>
      </c>
      <c r="AR111" s="57">
        <v>8.2299999999999998E-2</v>
      </c>
      <c r="AS111" s="57">
        <v>3.4</v>
      </c>
      <c r="AT111" s="57">
        <v>0.11940000000000001</v>
      </c>
      <c r="AU111" s="57">
        <v>6.3799999999999996E-2</v>
      </c>
      <c r="AV111" s="57">
        <v>2.7</v>
      </c>
      <c r="AW111" s="57">
        <v>0.1192</v>
      </c>
      <c r="AX111" s="57">
        <v>6.3299999999999995E-2</v>
      </c>
      <c r="AY111" s="57">
        <v>3.4</v>
      </c>
      <c r="AZ111" s="57">
        <v>0.14369999999999999</v>
      </c>
      <c r="BA111" s="57">
        <v>7.6999999999999999E-2</v>
      </c>
    </row>
    <row r="112" spans="1:53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AJ112" s="57">
        <v>2.6</v>
      </c>
      <c r="AK112" s="57">
        <v>7.0000000000000007E-2</v>
      </c>
      <c r="AL112" s="57">
        <v>3.9100000000000003E-2</v>
      </c>
      <c r="AM112" s="57">
        <v>2.25</v>
      </c>
      <c r="AN112" s="57">
        <v>7.3300000000000004E-2</v>
      </c>
      <c r="AO112" s="57">
        <v>3.9600000000000003E-2</v>
      </c>
      <c r="AP112" s="57">
        <v>3.8</v>
      </c>
      <c r="AQ112" s="57">
        <v>0.1206</v>
      </c>
      <c r="AR112" s="57">
        <v>6.8000000000000005E-2</v>
      </c>
      <c r="AS112" s="57">
        <v>2.2000000000000002</v>
      </c>
      <c r="AT112" s="57">
        <v>9.6500000000000002E-2</v>
      </c>
      <c r="AU112" s="57">
        <v>5.2999999999999999E-2</v>
      </c>
      <c r="AW112" s="57">
        <v>0.1206</v>
      </c>
      <c r="AX112" s="57">
        <v>6.8000000000000005E-2</v>
      </c>
    </row>
    <row r="113" spans="1:54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</row>
    <row r="114" spans="1:54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</row>
    <row r="115" spans="1:54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</row>
    <row r="116" spans="1:54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</row>
    <row r="117" spans="1:54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E117" s="57" t="s">
        <v>138</v>
      </c>
      <c r="AJ117" s="57">
        <v>1.75</v>
      </c>
      <c r="AK117" s="57">
        <v>0.104</v>
      </c>
      <c r="AL117" s="57">
        <v>4.2900000000000001E-2</v>
      </c>
      <c r="AM117" s="57">
        <v>2.0499999999999998</v>
      </c>
      <c r="AN117" s="57">
        <v>0.15590000000000001</v>
      </c>
      <c r="AO117" s="57">
        <v>6.3E-2</v>
      </c>
      <c r="AP117" s="57">
        <v>1.55</v>
      </c>
      <c r="AQ117" s="57">
        <v>0.14019999999999999</v>
      </c>
      <c r="AR117" s="57">
        <v>6.0299999999999999E-2</v>
      </c>
      <c r="AS117" s="57">
        <v>1.85</v>
      </c>
      <c r="AT117" s="57">
        <v>0.15959999999999999</v>
      </c>
      <c r="AU117" s="57">
        <v>6.6000000000000003E-2</v>
      </c>
      <c r="AV117" s="57">
        <v>1.7749999999999999</v>
      </c>
      <c r="AW117" s="57">
        <v>0.1419</v>
      </c>
      <c r="AX117" s="57">
        <v>5.9799999999999999E-2</v>
      </c>
      <c r="AY117" s="57">
        <v>1.45</v>
      </c>
      <c r="AZ117" s="57">
        <v>0.1144</v>
      </c>
      <c r="BA117" s="57">
        <v>4.58E-2</v>
      </c>
    </row>
    <row r="118" spans="1:54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E118" s="57" t="s">
        <v>140</v>
      </c>
    </row>
    <row r="119" spans="1:54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E119" s="57" t="s">
        <v>141</v>
      </c>
    </row>
    <row r="120" spans="1:54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E120" s="57" t="s">
        <v>143</v>
      </c>
      <c r="AJ120" s="57">
        <v>2.75</v>
      </c>
      <c r="AK120" s="57">
        <v>0.41299999999999998</v>
      </c>
      <c r="AL120" s="57">
        <v>0.16039999999999999</v>
      </c>
      <c r="AM120" s="57">
        <v>2.4500000000000002</v>
      </c>
      <c r="AN120" s="57">
        <v>0.42859999999999998</v>
      </c>
      <c r="AO120" s="57">
        <v>0.16900000000000001</v>
      </c>
      <c r="AP120" s="57">
        <v>2.75</v>
      </c>
      <c r="AQ120" s="57">
        <v>0.34570000000000001</v>
      </c>
      <c r="AR120" s="57">
        <v>0.13669999999999999</v>
      </c>
      <c r="AS120" s="57">
        <v>2.6</v>
      </c>
      <c r="AT120" s="57">
        <v>0.24859999999999999</v>
      </c>
      <c r="AU120" s="57">
        <v>8.4599999999999995E-2</v>
      </c>
      <c r="AV120" s="57">
        <v>2.5499999999999998</v>
      </c>
      <c r="AW120" s="57">
        <v>0.27200000000000002</v>
      </c>
      <c r="AX120" s="57">
        <v>0.1046</v>
      </c>
      <c r="AY120" s="57">
        <v>2.5499999999999998</v>
      </c>
      <c r="AZ120" s="57">
        <v>0.29899999999999999</v>
      </c>
      <c r="BA120" s="57">
        <v>0.1042</v>
      </c>
      <c r="BB120" s="57">
        <v>2.5499999999999998</v>
      </c>
    </row>
    <row r="121" spans="1:54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E121" s="57" t="s">
        <v>144</v>
      </c>
    </row>
    <row r="122" spans="1:54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E122" s="57" t="s">
        <v>145</v>
      </c>
    </row>
    <row r="123" spans="1:54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  <c r="G123" s="57">
        <v>4</v>
      </c>
    </row>
    <row r="124" spans="1:54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  <c r="G124" s="57">
        <v>10</v>
      </c>
    </row>
    <row r="125" spans="1:54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  <c r="G125" s="57">
        <v>6</v>
      </c>
    </row>
    <row r="126" spans="1:54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  <c r="G126" s="57">
        <v>7</v>
      </c>
    </row>
    <row r="127" spans="1:54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  <c r="G127" s="57">
        <v>3</v>
      </c>
    </row>
    <row r="128" spans="1:54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  <c r="G128" s="57">
        <v>5</v>
      </c>
    </row>
    <row r="129" spans="1:7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</row>
    <row r="130" spans="1:7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  <c r="G130" s="70">
        <v>44750</v>
      </c>
    </row>
    <row r="131" spans="1:7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  <c r="G131" s="57">
        <v>5</v>
      </c>
    </row>
    <row r="132" spans="1:7" x14ac:dyDescent="0.2">
      <c r="A132" s="57"/>
      <c r="B132" s="76"/>
      <c r="C132" s="57"/>
      <c r="D132" s="54"/>
      <c r="E132" s="81">
        <v>2084</v>
      </c>
      <c r="F132" s="81">
        <v>10</v>
      </c>
      <c r="G132" s="81">
        <v>10</v>
      </c>
    </row>
    <row r="133" spans="1:7" x14ac:dyDescent="0.2">
      <c r="A133" s="57"/>
      <c r="B133" s="76"/>
      <c r="C133" s="57"/>
      <c r="D133" s="54"/>
      <c r="E133" s="81">
        <v>2083</v>
      </c>
      <c r="F133" s="81">
        <v>10</v>
      </c>
      <c r="G133" s="81">
        <v>10</v>
      </c>
    </row>
    <row r="134" spans="1:7" x14ac:dyDescent="0.2">
      <c r="A134" s="57"/>
      <c r="B134" s="76"/>
      <c r="C134" s="57"/>
      <c r="D134" s="54"/>
      <c r="E134" s="81">
        <v>2042</v>
      </c>
      <c r="F134" s="81">
        <v>10</v>
      </c>
      <c r="G134" s="81">
        <v>10</v>
      </c>
    </row>
    <row r="135" spans="1:7" x14ac:dyDescent="0.2">
      <c r="A135" s="57"/>
      <c r="B135" s="76"/>
      <c r="C135" s="57"/>
      <c r="D135" s="54"/>
      <c r="E135" s="81">
        <v>2081</v>
      </c>
      <c r="F135" s="81">
        <v>10</v>
      </c>
      <c r="G135" s="81">
        <v>10</v>
      </c>
    </row>
    <row r="136" spans="1:7" x14ac:dyDescent="0.2">
      <c r="A136" s="57"/>
      <c r="B136" s="76"/>
      <c r="C136" s="57"/>
      <c r="D136" s="54"/>
      <c r="E136" s="81">
        <v>2080</v>
      </c>
      <c r="F136" s="81"/>
      <c r="G136" s="81">
        <v>5</v>
      </c>
    </row>
    <row r="137" spans="1:7" x14ac:dyDescent="0.2">
      <c r="A137" s="57"/>
      <c r="B137" s="76"/>
      <c r="C137" s="57"/>
      <c r="D137" s="54"/>
      <c r="E137" s="81">
        <v>2079</v>
      </c>
      <c r="F137" s="81">
        <v>10</v>
      </c>
      <c r="G137" s="81">
        <v>10</v>
      </c>
    </row>
    <row r="138" spans="1:7" x14ac:dyDescent="0.2">
      <c r="A138" s="57"/>
      <c r="B138" s="76"/>
      <c r="C138" s="57"/>
      <c r="D138" s="54"/>
      <c r="E138" s="81">
        <v>2078</v>
      </c>
      <c r="F138" s="81">
        <v>9</v>
      </c>
      <c r="G138" s="81">
        <v>10</v>
      </c>
    </row>
    <row r="139" spans="1:7" x14ac:dyDescent="0.2">
      <c r="A139" s="57"/>
      <c r="B139" s="76"/>
      <c r="C139" s="57"/>
      <c r="D139" s="54"/>
      <c r="E139" s="81">
        <v>2077</v>
      </c>
      <c r="F139" s="81"/>
      <c r="G139" s="81">
        <v>6</v>
      </c>
    </row>
    <row r="140" spans="1:7" x14ac:dyDescent="0.2">
      <c r="A140" s="57"/>
      <c r="B140" s="76"/>
      <c r="C140" s="57"/>
      <c r="D140" s="54"/>
      <c r="E140" s="81">
        <v>2076</v>
      </c>
      <c r="F140" s="81"/>
      <c r="G140" s="81">
        <v>8</v>
      </c>
    </row>
    <row r="141" spans="1:7" x14ac:dyDescent="0.2">
      <c r="A141" s="57"/>
      <c r="B141" s="76"/>
      <c r="C141" s="57"/>
      <c r="D141" s="54"/>
      <c r="E141" s="81">
        <v>2053</v>
      </c>
      <c r="F141" s="81"/>
      <c r="G141" s="81">
        <v>9</v>
      </c>
    </row>
    <row r="142" spans="1:7" x14ac:dyDescent="0.2">
      <c r="A142" s="57"/>
      <c r="B142" s="76"/>
      <c r="C142" s="57"/>
      <c r="D142" s="54"/>
      <c r="E142" s="81">
        <v>2052</v>
      </c>
      <c r="F142" s="81"/>
      <c r="G142" s="81">
        <v>7</v>
      </c>
    </row>
    <row r="143" spans="1:7" x14ac:dyDescent="0.2">
      <c r="A143" s="57" t="s">
        <v>139</v>
      </c>
      <c r="B143" s="76" t="s">
        <v>139</v>
      </c>
      <c r="C143" s="57" t="s">
        <v>139</v>
      </c>
      <c r="D143" s="54" t="s">
        <v>64</v>
      </c>
      <c r="E143" s="57">
        <v>2020</v>
      </c>
      <c r="G143" s="57">
        <v>8</v>
      </c>
    </row>
    <row r="144" spans="1:7" x14ac:dyDescent="0.2">
      <c r="A144" s="57" t="s">
        <v>139</v>
      </c>
      <c r="B144" s="76" t="s">
        <v>139</v>
      </c>
      <c r="C144" s="57" t="s">
        <v>139</v>
      </c>
      <c r="D144" s="54" t="s">
        <v>64</v>
      </c>
      <c r="E144" s="57">
        <v>2021</v>
      </c>
      <c r="G144" s="57">
        <v>6</v>
      </c>
    </row>
    <row r="145" spans="1:44" x14ac:dyDescent="0.2">
      <c r="A145" s="57" t="s">
        <v>139</v>
      </c>
      <c r="B145" s="76" t="s">
        <v>139</v>
      </c>
      <c r="C145" s="57" t="s">
        <v>139</v>
      </c>
      <c r="D145" s="54" t="s">
        <v>58</v>
      </c>
      <c r="E145" s="57">
        <v>2022</v>
      </c>
    </row>
    <row r="146" spans="1:44" x14ac:dyDescent="0.2">
      <c r="A146" s="57" t="s">
        <v>139</v>
      </c>
      <c r="B146" s="76" t="s">
        <v>139</v>
      </c>
      <c r="C146" s="57" t="s">
        <v>139</v>
      </c>
      <c r="D146" s="54" t="s">
        <v>58</v>
      </c>
      <c r="E146" s="57">
        <v>2023</v>
      </c>
      <c r="G146" s="57">
        <v>8</v>
      </c>
    </row>
    <row r="147" spans="1:44" x14ac:dyDescent="0.2">
      <c r="A147" s="57" t="s">
        <v>139</v>
      </c>
      <c r="B147" s="76" t="s">
        <v>139</v>
      </c>
      <c r="C147" s="57" t="s">
        <v>139</v>
      </c>
      <c r="D147" s="54" t="s">
        <v>64</v>
      </c>
      <c r="E147" s="57">
        <v>2024</v>
      </c>
      <c r="G147" s="57">
        <v>7</v>
      </c>
    </row>
    <row r="148" spans="1:44" x14ac:dyDescent="0.2">
      <c r="A148" s="57" t="s">
        <v>139</v>
      </c>
      <c r="B148" s="76" t="s">
        <v>139</v>
      </c>
      <c r="C148" s="57" t="s">
        <v>139</v>
      </c>
      <c r="D148" s="54" t="s">
        <v>64</v>
      </c>
      <c r="E148" s="57">
        <v>2025</v>
      </c>
      <c r="G148" s="57">
        <v>7</v>
      </c>
    </row>
    <row r="149" spans="1:44" x14ac:dyDescent="0.2">
      <c r="A149" s="57" t="s">
        <v>139</v>
      </c>
      <c r="B149" s="76" t="s">
        <v>147</v>
      </c>
      <c r="C149" s="57" t="s">
        <v>263</v>
      </c>
      <c r="D149" s="54" t="s">
        <v>64</v>
      </c>
      <c r="E149" s="57">
        <v>2026</v>
      </c>
      <c r="G149" s="57">
        <v>8</v>
      </c>
    </row>
    <row r="150" spans="1:44" x14ac:dyDescent="0.2">
      <c r="A150" s="57" t="s">
        <v>139</v>
      </c>
      <c r="B150" s="76" t="s">
        <v>147</v>
      </c>
      <c r="C150" s="57" t="s">
        <v>263</v>
      </c>
      <c r="D150" s="54" t="s">
        <v>64</v>
      </c>
      <c r="E150" s="57">
        <v>2027</v>
      </c>
      <c r="G150" s="57">
        <v>8</v>
      </c>
    </row>
    <row r="151" spans="1:44" x14ac:dyDescent="0.2">
      <c r="A151" s="57" t="s">
        <v>139</v>
      </c>
      <c r="B151" s="76" t="s">
        <v>147</v>
      </c>
      <c r="C151" s="57" t="s">
        <v>263</v>
      </c>
      <c r="D151" s="54" t="s">
        <v>64</v>
      </c>
      <c r="E151" s="57">
        <v>2028</v>
      </c>
      <c r="G151" s="57">
        <v>8</v>
      </c>
    </row>
    <row r="152" spans="1:44" x14ac:dyDescent="0.2">
      <c r="A152" s="57" t="s">
        <v>139</v>
      </c>
      <c r="B152" s="76" t="s">
        <v>147</v>
      </c>
      <c r="C152" s="57" t="s">
        <v>263</v>
      </c>
      <c r="D152" s="54" t="s">
        <v>58</v>
      </c>
      <c r="E152" s="57">
        <v>2029</v>
      </c>
    </row>
    <row r="153" spans="1:44" x14ac:dyDescent="0.2">
      <c r="A153" s="57" t="s">
        <v>139</v>
      </c>
      <c r="B153" s="76" t="s">
        <v>147</v>
      </c>
      <c r="C153" s="57" t="s">
        <v>263</v>
      </c>
      <c r="D153" s="54" t="s">
        <v>58</v>
      </c>
      <c r="E153" s="57">
        <v>2030</v>
      </c>
      <c r="G153" s="57">
        <v>6</v>
      </c>
    </row>
    <row r="154" spans="1:44" x14ac:dyDescent="0.2">
      <c r="A154" s="57" t="s">
        <v>139</v>
      </c>
      <c r="B154" s="76" t="s">
        <v>147</v>
      </c>
      <c r="C154" s="57" t="s">
        <v>263</v>
      </c>
      <c r="D154" s="54" t="s">
        <v>64</v>
      </c>
      <c r="E154" s="57">
        <v>2031</v>
      </c>
      <c r="G154" s="57">
        <v>7</v>
      </c>
    </row>
    <row r="155" spans="1:44" x14ac:dyDescent="0.2">
      <c r="A155" s="57" t="s">
        <v>134</v>
      </c>
      <c r="B155" s="76" t="s">
        <v>146</v>
      </c>
      <c r="C155" s="57" t="s">
        <v>264</v>
      </c>
      <c r="D155" s="54" t="s">
        <v>64</v>
      </c>
      <c r="E155" s="57">
        <v>2012</v>
      </c>
    </row>
    <row r="156" spans="1:44" x14ac:dyDescent="0.2">
      <c r="A156" s="57" t="s">
        <v>134</v>
      </c>
      <c r="B156" s="76" t="s">
        <v>146</v>
      </c>
      <c r="C156" s="57" t="s">
        <v>264</v>
      </c>
      <c r="D156" s="54" t="s">
        <v>64</v>
      </c>
      <c r="E156" s="57">
        <v>2013</v>
      </c>
    </row>
    <row r="157" spans="1:44" x14ac:dyDescent="0.2">
      <c r="A157" s="57" t="s">
        <v>134</v>
      </c>
      <c r="B157" s="76" t="s">
        <v>146</v>
      </c>
      <c r="C157" s="57" t="s">
        <v>264</v>
      </c>
      <c r="D157" s="54" t="s">
        <v>64</v>
      </c>
      <c r="E157" s="57">
        <v>2014</v>
      </c>
    </row>
    <row r="158" spans="1:44" x14ac:dyDescent="0.2">
      <c r="A158" s="57" t="s">
        <v>134</v>
      </c>
      <c r="B158" s="76" t="s">
        <v>146</v>
      </c>
      <c r="C158" s="57" t="s">
        <v>264</v>
      </c>
      <c r="D158" s="54" t="s">
        <v>64</v>
      </c>
      <c r="E158" s="57">
        <v>2015</v>
      </c>
    </row>
    <row r="159" spans="1:44" x14ac:dyDescent="0.2">
      <c r="A159" s="57" t="s">
        <v>134</v>
      </c>
      <c r="B159" s="76" t="s">
        <v>146</v>
      </c>
      <c r="C159" s="57" t="s">
        <v>264</v>
      </c>
      <c r="D159" s="54" t="s">
        <v>64</v>
      </c>
      <c r="E159" s="57">
        <v>1478</v>
      </c>
    </row>
    <row r="160" spans="1:44" x14ac:dyDescent="0.2">
      <c r="A160" s="57" t="s">
        <v>114</v>
      </c>
      <c r="B160" s="76" t="s">
        <v>133</v>
      </c>
      <c r="D160" s="54" t="s">
        <v>64</v>
      </c>
      <c r="E160" s="57">
        <v>2011</v>
      </c>
      <c r="G160" s="57">
        <v>10</v>
      </c>
      <c r="AJ160" s="57">
        <v>3.1</v>
      </c>
      <c r="AK160" s="57">
        <v>7.0300000000000001E-2</v>
      </c>
      <c r="AL160" s="57">
        <v>3.7999999999999999E-2</v>
      </c>
      <c r="AM160" s="57">
        <v>3.2</v>
      </c>
      <c r="AN160" s="57">
        <v>0.11700000000000001</v>
      </c>
      <c r="AO160" s="57">
        <v>6.3E-2</v>
      </c>
      <c r="AP160" s="57" t="s">
        <v>286</v>
      </c>
      <c r="AQ160" s="57">
        <v>8.9700000000000002E-2</v>
      </c>
      <c r="AR160" s="57">
        <v>4.7500000000000001E-2</v>
      </c>
    </row>
    <row r="161" spans="1:44" x14ac:dyDescent="0.2">
      <c r="A161" s="57" t="s">
        <v>114</v>
      </c>
      <c r="B161" s="76" t="s">
        <v>133</v>
      </c>
      <c r="C161" s="57" t="s">
        <v>265</v>
      </c>
      <c r="D161" s="54" t="s">
        <v>64</v>
      </c>
      <c r="E161" s="57">
        <v>2010</v>
      </c>
      <c r="F161" s="57">
        <v>10</v>
      </c>
      <c r="G161" s="57">
        <v>10</v>
      </c>
    </row>
    <row r="162" spans="1:44" x14ac:dyDescent="0.2">
      <c r="A162" s="57" t="s">
        <v>114</v>
      </c>
      <c r="B162" s="76" t="s">
        <v>131</v>
      </c>
      <c r="C162" s="57" t="s">
        <v>266</v>
      </c>
      <c r="D162" s="54" t="s">
        <v>64</v>
      </c>
      <c r="E162" s="57">
        <v>2009</v>
      </c>
      <c r="F162" s="57">
        <v>8</v>
      </c>
      <c r="G162" s="57">
        <v>9</v>
      </c>
      <c r="AJ162" s="57">
        <v>2.9</v>
      </c>
      <c r="AK162" s="57">
        <v>0.1074</v>
      </c>
      <c r="AL162" s="57">
        <v>5.0599999999999999E-2</v>
      </c>
      <c r="AM162" s="57">
        <v>3</v>
      </c>
      <c r="AN162" s="57">
        <v>0.13320000000000001</v>
      </c>
      <c r="AO162" s="57">
        <v>6.8099999999999994E-2</v>
      </c>
      <c r="AP162" s="57" t="s">
        <v>286</v>
      </c>
      <c r="AQ162" s="57">
        <v>0.12709999999999999</v>
      </c>
      <c r="AR162" s="57">
        <v>6.5600000000000006E-2</v>
      </c>
    </row>
    <row r="163" spans="1:44" x14ac:dyDescent="0.2">
      <c r="A163" s="57" t="s">
        <v>134</v>
      </c>
      <c r="B163" s="76" t="s">
        <v>135</v>
      </c>
      <c r="D163" s="54" t="s">
        <v>64</v>
      </c>
      <c r="E163" s="57">
        <v>2008</v>
      </c>
    </row>
    <row r="164" spans="1:44" x14ac:dyDescent="0.2">
      <c r="D164" s="3"/>
      <c r="E164" s="57">
        <v>2127</v>
      </c>
      <c r="F164" s="57" t="s">
        <v>286</v>
      </c>
      <c r="G164" s="57">
        <v>6</v>
      </c>
    </row>
    <row r="165" spans="1:44" x14ac:dyDescent="0.2">
      <c r="D165" s="3"/>
    </row>
    <row r="166" spans="1:44" x14ac:dyDescent="0.2">
      <c r="D166" s="3"/>
    </row>
    <row r="167" spans="1:44" x14ac:dyDescent="0.2">
      <c r="D167" s="3"/>
    </row>
    <row r="168" spans="1:44" x14ac:dyDescent="0.2">
      <c r="D168" s="3"/>
    </row>
    <row r="169" spans="1:44" x14ac:dyDescent="0.2">
      <c r="D169" s="3"/>
    </row>
    <row r="170" spans="1:44" x14ac:dyDescent="0.2">
      <c r="D170" s="3"/>
    </row>
    <row r="171" spans="1:44" x14ac:dyDescent="0.2">
      <c r="D171" s="3"/>
    </row>
    <row r="172" spans="1:44" x14ac:dyDescent="0.2">
      <c r="D172" s="3"/>
    </row>
    <row r="173" spans="1:44" x14ac:dyDescent="0.2">
      <c r="D173" s="3"/>
    </row>
    <row r="174" spans="1:44" x14ac:dyDescent="0.2">
      <c r="D174" s="3"/>
    </row>
    <row r="175" spans="1:44" x14ac:dyDescent="0.2">
      <c r="D175" s="3"/>
    </row>
    <row r="176" spans="1:4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  <row r="315" spans="4:4" x14ac:dyDescent="0.2">
      <c r="D315" s="3"/>
    </row>
    <row r="316" spans="4:4" x14ac:dyDescent="0.2">
      <c r="D316" s="3"/>
    </row>
    <row r="317" spans="4:4" x14ac:dyDescent="0.2">
      <c r="D317" s="3"/>
    </row>
    <row r="318" spans="4:4" x14ac:dyDescent="0.2">
      <c r="D318" s="3"/>
    </row>
    <row r="319" spans="4:4" x14ac:dyDescent="0.2">
      <c r="D319" s="3"/>
    </row>
    <row r="320" spans="4:4" x14ac:dyDescent="0.2">
      <c r="D320" s="3"/>
    </row>
    <row r="321" spans="4:4" x14ac:dyDescent="0.2">
      <c r="D321" s="3"/>
    </row>
    <row r="322" spans="4:4" x14ac:dyDescent="0.2">
      <c r="D322" s="3"/>
    </row>
    <row r="323" spans="4:4" x14ac:dyDescent="0.2">
      <c r="D323" s="3"/>
    </row>
    <row r="324" spans="4:4" x14ac:dyDescent="0.2">
      <c r="D324" s="3"/>
    </row>
    <row r="325" spans="4:4" x14ac:dyDescent="0.2">
      <c r="D325" s="3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H314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0" x14ac:dyDescent="0.2">
      <c r="C1" s="74" t="s">
        <v>207</v>
      </c>
      <c r="D1" s="1"/>
      <c r="E1" s="1"/>
    </row>
    <row r="3" spans="1:60" x14ac:dyDescent="0.2">
      <c r="C3" s="12" t="s">
        <v>1</v>
      </c>
      <c r="D3" s="38" t="s">
        <v>208</v>
      </c>
      <c r="E3" s="12"/>
    </row>
    <row r="4" spans="1:60" x14ac:dyDescent="0.2">
      <c r="C4" s="12" t="s">
        <v>3</v>
      </c>
      <c r="D4" s="38" t="s">
        <v>293</v>
      </c>
    </row>
    <row r="6" spans="1:60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</row>
    <row r="7" spans="1:60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I7" s="57">
        <v>1.4119999999999999</v>
      </c>
      <c r="J7" s="57">
        <v>0.16739999999999999</v>
      </c>
      <c r="K7" s="57">
        <v>0.109</v>
      </c>
      <c r="L7" s="57">
        <v>1.621</v>
      </c>
      <c r="M7" s="57">
        <v>0.2465</v>
      </c>
      <c r="N7" s="57">
        <v>0.161</v>
      </c>
      <c r="O7" s="57">
        <v>2.0329999999999999</v>
      </c>
      <c r="P7" s="57">
        <v>0.1288</v>
      </c>
      <c r="Q7" s="57">
        <v>8.5000000000000006E-2</v>
      </c>
      <c r="R7" s="57">
        <v>0.84099999999999997</v>
      </c>
      <c r="S7" s="57">
        <v>0.1198</v>
      </c>
      <c r="T7" s="57">
        <v>7.8E-2</v>
      </c>
      <c r="U7" s="57">
        <v>1.2350000000000001</v>
      </c>
      <c r="V7" s="57">
        <v>0.17299999999999999</v>
      </c>
      <c r="W7" s="57">
        <v>0.115</v>
      </c>
      <c r="AG7" s="57">
        <v>0.24690000000000001</v>
      </c>
      <c r="AH7" s="57">
        <v>0.157</v>
      </c>
    </row>
    <row r="8" spans="1:60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</row>
    <row r="9" spans="1:60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I9" s="57">
        <v>1.2310000000000001</v>
      </c>
      <c r="J9" s="57">
        <v>0.43099999999999999</v>
      </c>
      <c r="K9" s="57">
        <v>0.27200000000000002</v>
      </c>
      <c r="L9" s="57">
        <v>1.071</v>
      </c>
      <c r="M9" s="57">
        <v>0.39739999999999998</v>
      </c>
      <c r="N9" s="57">
        <v>0.24299999999999999</v>
      </c>
      <c r="O9" s="57">
        <v>2.2130000000000001</v>
      </c>
      <c r="P9" s="57">
        <v>0.52539999999999998</v>
      </c>
      <c r="Q9" s="57">
        <v>0.32400000000000001</v>
      </c>
      <c r="R9" s="57">
        <v>1.2509999999999999</v>
      </c>
      <c r="S9" s="57">
        <v>0.33350000000000002</v>
      </c>
      <c r="T9" s="57">
        <v>0.20399999999999999</v>
      </c>
      <c r="U9" s="57">
        <v>2.1850000000000001</v>
      </c>
      <c r="V9" s="57">
        <v>0.3775</v>
      </c>
      <c r="W9" s="57">
        <v>0.24299999999999999</v>
      </c>
      <c r="AG9" s="57">
        <v>0.88549999999999995</v>
      </c>
      <c r="AH9" s="57">
        <v>0.54500000000000004</v>
      </c>
    </row>
    <row r="10" spans="1:60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</row>
    <row r="11" spans="1:60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0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</row>
    <row r="13" spans="1:60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</row>
    <row r="14" spans="1:60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0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</row>
    <row r="16" spans="1:60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</row>
    <row r="17" spans="1:34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34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I18" s="57">
        <v>1.3</v>
      </c>
      <c r="J18" s="57">
        <v>0.17180000000000001</v>
      </c>
      <c r="K18" s="57">
        <v>9.4E-2</v>
      </c>
      <c r="L18" s="57">
        <v>1.4</v>
      </c>
      <c r="M18" s="57">
        <v>0.1176</v>
      </c>
      <c r="N18" s="57">
        <v>6.3E-2</v>
      </c>
      <c r="O18" s="57">
        <v>1.4</v>
      </c>
      <c r="P18" s="57">
        <v>0.19600000000000001</v>
      </c>
      <c r="Q18" s="57">
        <v>0.108</v>
      </c>
      <c r="AG18" s="57">
        <v>0.80600000000000005</v>
      </c>
      <c r="AH18" s="57">
        <v>0.434</v>
      </c>
    </row>
    <row r="19" spans="1:34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</row>
    <row r="20" spans="1:34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34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</row>
    <row r="22" spans="1:34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</row>
    <row r="23" spans="1:34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</row>
    <row r="24" spans="1:34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G24" s="57">
        <v>10</v>
      </c>
      <c r="I24" s="57">
        <v>1.4</v>
      </c>
      <c r="J24" s="57">
        <v>0.14610000000000001</v>
      </c>
      <c r="K24" s="57">
        <v>7.5999999999999998E-2</v>
      </c>
      <c r="L24" s="57">
        <v>1.4</v>
      </c>
      <c r="M24" s="57">
        <v>0.1409</v>
      </c>
      <c r="N24" s="57">
        <v>7.3999999999999996E-2</v>
      </c>
      <c r="O24" s="57" t="s">
        <v>60</v>
      </c>
      <c r="P24" s="57">
        <v>0.127</v>
      </c>
      <c r="Q24" s="57">
        <v>6.5000000000000002E-2</v>
      </c>
      <c r="AG24" s="57">
        <v>0.62119999999999997</v>
      </c>
      <c r="AH24" s="57">
        <v>0.318</v>
      </c>
    </row>
    <row r="25" spans="1:34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</row>
    <row r="26" spans="1:34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34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G27" s="57">
        <v>10</v>
      </c>
      <c r="I27" s="57">
        <v>1.6</v>
      </c>
      <c r="J27" s="57">
        <v>0.1053</v>
      </c>
      <c r="K27" s="57">
        <v>5.5E-2</v>
      </c>
      <c r="L27" s="57">
        <v>1</v>
      </c>
      <c r="M27" s="57">
        <v>8.6800000000000002E-2</v>
      </c>
      <c r="N27" s="57">
        <v>4.4999999999999998E-2</v>
      </c>
      <c r="O27" s="57">
        <v>1.1000000000000001</v>
      </c>
      <c r="P27" s="57">
        <v>9.9299999999999999E-2</v>
      </c>
      <c r="Q27" s="57">
        <v>5.1999999999999998E-2</v>
      </c>
      <c r="R27" s="57">
        <v>1.1000000000000001</v>
      </c>
      <c r="S27" s="57">
        <v>8.0699999999999994E-2</v>
      </c>
      <c r="T27" s="57">
        <v>4.2999999999999997E-2</v>
      </c>
      <c r="AG27" s="57">
        <v>0.58640000000000003</v>
      </c>
      <c r="AH27" s="57">
        <v>0.30599999999999999</v>
      </c>
    </row>
    <row r="28" spans="1:34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34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34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G30" s="57">
        <v>10</v>
      </c>
      <c r="I30" s="57">
        <v>1.6</v>
      </c>
      <c r="J30" s="57">
        <v>0.1047</v>
      </c>
      <c r="K30" s="57">
        <v>5.8000000000000003E-2</v>
      </c>
      <c r="L30" s="57">
        <v>1.3</v>
      </c>
      <c r="M30" s="57">
        <v>0.1605</v>
      </c>
      <c r="N30" s="57">
        <v>8.6999999999999994E-2</v>
      </c>
      <c r="O30" s="57">
        <v>1.5</v>
      </c>
      <c r="P30" s="57">
        <v>0.1007</v>
      </c>
      <c r="Q30" s="57">
        <v>5.5E-2</v>
      </c>
      <c r="AG30" s="57">
        <v>0.83589999999999998</v>
      </c>
      <c r="AH30" s="57">
        <v>0.44700000000000001</v>
      </c>
    </row>
    <row r="31" spans="1:34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I31" s="57">
        <v>0.68899999999999995</v>
      </c>
      <c r="J31" s="57">
        <v>0.2742</v>
      </c>
      <c r="K31" s="57">
        <v>0.17299999999999999</v>
      </c>
      <c r="L31" s="57">
        <v>0.94699999999999995</v>
      </c>
      <c r="M31" s="57">
        <v>0.29170000000000001</v>
      </c>
      <c r="N31" s="57">
        <v>0.184</v>
      </c>
      <c r="O31" s="57">
        <v>0.84899999999999998</v>
      </c>
      <c r="P31" s="57">
        <v>0.33169999999999999</v>
      </c>
      <c r="Q31" s="57">
        <v>0.21</v>
      </c>
      <c r="AG31" s="57">
        <v>1.5207999999999999</v>
      </c>
      <c r="AH31" s="57">
        <v>0.96099999999999997</v>
      </c>
    </row>
    <row r="32" spans="1:34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I32" s="57">
        <v>0.3</v>
      </c>
      <c r="J32" s="57">
        <v>0.49990000000000001</v>
      </c>
      <c r="K32" s="57">
        <v>0.32900000000000001</v>
      </c>
      <c r="L32" s="57">
        <v>1.1000000000000001</v>
      </c>
      <c r="M32" s="57">
        <v>0.30959999999999999</v>
      </c>
      <c r="N32" s="57">
        <v>0.193</v>
      </c>
      <c r="O32" s="57">
        <v>1</v>
      </c>
      <c r="P32" s="57">
        <v>0.63690000000000002</v>
      </c>
      <c r="Q32" s="57">
        <v>0.39900000000000002</v>
      </c>
      <c r="R32" s="57">
        <v>0.9</v>
      </c>
      <c r="S32" s="57">
        <v>0.26219999999999999</v>
      </c>
      <c r="T32" s="57">
        <v>0.16900000000000001</v>
      </c>
      <c r="AG32" s="57">
        <v>1.7582</v>
      </c>
      <c r="AH32" s="57">
        <v>1.101</v>
      </c>
    </row>
    <row r="33" spans="1:34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I33" s="57">
        <v>1.333</v>
      </c>
      <c r="J33" s="57">
        <v>0.1847</v>
      </c>
      <c r="K33" s="57">
        <v>0.10199999999999999</v>
      </c>
      <c r="L33" s="57">
        <v>1.3009999999999999</v>
      </c>
      <c r="M33" s="57">
        <v>0.1666</v>
      </c>
      <c r="N33" s="57">
        <v>9.0999999999999998E-2</v>
      </c>
      <c r="O33" s="57">
        <v>1.2809999999999999</v>
      </c>
      <c r="P33" s="57">
        <v>0.14979999999999999</v>
      </c>
      <c r="Q33" s="57">
        <v>8.3000000000000004E-2</v>
      </c>
      <c r="AG33" s="57">
        <v>1.4300999999999999</v>
      </c>
      <c r="AH33" s="57">
        <v>0.76600000000000001</v>
      </c>
    </row>
    <row r="34" spans="1:34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I34" s="57">
        <v>1.212</v>
      </c>
      <c r="J34" s="57">
        <v>0.13020000000000001</v>
      </c>
      <c r="K34" s="57">
        <v>7.1999999999999995E-2</v>
      </c>
      <c r="L34" s="57">
        <v>1.1100000000000001</v>
      </c>
      <c r="M34" s="57">
        <v>8.2799999999999999E-2</v>
      </c>
      <c r="N34" s="57">
        <v>4.5999999999999999E-2</v>
      </c>
      <c r="O34" s="57">
        <v>1.2150000000000001</v>
      </c>
      <c r="P34" s="57">
        <v>0.1128</v>
      </c>
      <c r="Q34" s="57">
        <v>6.4000000000000001E-2</v>
      </c>
      <c r="AG34" s="57">
        <v>0.94120000000000004</v>
      </c>
      <c r="AH34" s="57">
        <v>0.51400000000000001</v>
      </c>
    </row>
    <row r="35" spans="1:34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I35" s="57">
        <v>1.841</v>
      </c>
      <c r="J35" s="57">
        <v>0.1128</v>
      </c>
      <c r="K35" s="57">
        <v>7.4999999999999997E-2</v>
      </c>
      <c r="L35" s="57">
        <v>0.97399999999999998</v>
      </c>
      <c r="M35" s="57">
        <v>0.14599999999999999</v>
      </c>
      <c r="N35" s="57">
        <v>9.4E-2</v>
      </c>
      <c r="O35" s="57">
        <v>0.67</v>
      </c>
      <c r="P35" s="57">
        <v>0.23449999999999999</v>
      </c>
      <c r="Q35" s="57">
        <v>0.15</v>
      </c>
      <c r="R35" s="57">
        <v>0.96199999999999997</v>
      </c>
      <c r="S35" s="57">
        <v>0.1459</v>
      </c>
      <c r="T35" s="57">
        <v>9.5000000000000001E-2</v>
      </c>
      <c r="AG35" s="57">
        <v>3.7176</v>
      </c>
      <c r="AH35" s="57">
        <v>2.173</v>
      </c>
    </row>
    <row r="36" spans="1:34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</row>
    <row r="37" spans="1:34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</row>
    <row r="38" spans="1:34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</row>
    <row r="39" spans="1:34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</row>
    <row r="40" spans="1:34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</row>
    <row r="41" spans="1:34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</row>
    <row r="42" spans="1:34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G42" s="57">
        <v>10</v>
      </c>
      <c r="I42" s="57">
        <v>1.3</v>
      </c>
      <c r="J42" s="57">
        <v>0.317</v>
      </c>
      <c r="K42" s="57">
        <v>0.17</v>
      </c>
      <c r="L42" s="57">
        <v>1.6</v>
      </c>
      <c r="M42" s="57">
        <v>0.21959999999999999</v>
      </c>
      <c r="N42" s="57">
        <v>0.11899999999999999</v>
      </c>
      <c r="O42" s="57">
        <v>1.6</v>
      </c>
      <c r="P42" s="57">
        <v>0.2838</v>
      </c>
      <c r="Q42" s="57">
        <v>0.155</v>
      </c>
      <c r="AG42" s="57">
        <v>1.3454999999999999</v>
      </c>
      <c r="AH42" s="57">
        <v>0.71199999999999997</v>
      </c>
    </row>
    <row r="43" spans="1:34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34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</row>
    <row r="45" spans="1:34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34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I46" s="57">
        <v>0.6</v>
      </c>
      <c r="J46" s="57">
        <v>0.24460000000000001</v>
      </c>
      <c r="K46" s="57">
        <v>0.15</v>
      </c>
      <c r="L46" s="57">
        <v>0.5</v>
      </c>
      <c r="M46" s="57">
        <v>0.16950000000000001</v>
      </c>
      <c r="N46" s="57">
        <v>0.104</v>
      </c>
      <c r="O46" s="57">
        <v>0.5</v>
      </c>
      <c r="P46" s="57">
        <v>0.23330000000000001</v>
      </c>
      <c r="Q46" s="57">
        <v>0.14599999999999999</v>
      </c>
      <c r="AG46" s="57">
        <v>1.3766</v>
      </c>
      <c r="AH46" s="57">
        <v>0.84399999999999997</v>
      </c>
    </row>
    <row r="47" spans="1:34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G47" s="57">
        <v>10</v>
      </c>
      <c r="I47" s="57">
        <v>1.89</v>
      </c>
      <c r="J47" s="57">
        <v>0.41889999999999999</v>
      </c>
      <c r="K47" s="57">
        <v>0.23599999999999999</v>
      </c>
      <c r="L47" s="57">
        <v>1.9</v>
      </c>
      <c r="M47" s="57">
        <v>0.22320000000000001</v>
      </c>
      <c r="N47" s="57">
        <v>0.13</v>
      </c>
      <c r="O47" s="57">
        <v>1.593</v>
      </c>
      <c r="P47" s="57">
        <v>0.1053</v>
      </c>
      <c r="Q47" s="57">
        <v>5.7000000000000002E-2</v>
      </c>
      <c r="R47" s="57">
        <v>1.72</v>
      </c>
      <c r="S47" s="57">
        <v>7.9899999999999999E-2</v>
      </c>
      <c r="T47" s="57">
        <v>4.7E-2</v>
      </c>
      <c r="AG47" s="57">
        <v>0.50429999999999997</v>
      </c>
      <c r="AH47" s="57">
        <v>0.23899999999999999</v>
      </c>
    </row>
    <row r="48" spans="1:34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G48" s="57">
        <v>10</v>
      </c>
      <c r="I48" s="57">
        <v>1.5</v>
      </c>
      <c r="J48" s="57">
        <v>0.1583</v>
      </c>
      <c r="K48" s="57">
        <v>0.08</v>
      </c>
      <c r="L48" s="57">
        <v>1.8</v>
      </c>
      <c r="M48" s="57">
        <v>0.21379999999999999</v>
      </c>
      <c r="N48" s="57">
        <v>0.109</v>
      </c>
      <c r="O48" s="57">
        <v>1.5</v>
      </c>
      <c r="P48" s="57">
        <v>0.1166</v>
      </c>
      <c r="Q48" s="57">
        <v>5.8999999999999997E-2</v>
      </c>
      <c r="AG48" s="57">
        <v>0.99790000000000001</v>
      </c>
      <c r="AH48" s="57">
        <v>0.497</v>
      </c>
    </row>
    <row r="49" spans="1:34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</row>
    <row r="50" spans="1:34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</row>
    <row r="51" spans="1:34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</row>
    <row r="52" spans="1:34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</row>
    <row r="53" spans="1:34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I53" s="57">
        <v>1.5</v>
      </c>
      <c r="J53" s="57">
        <v>0.20630000000000001</v>
      </c>
      <c r="K53" s="57">
        <v>9.9000000000000005E-2</v>
      </c>
      <c r="L53" s="57">
        <v>1.2</v>
      </c>
      <c r="M53" s="57">
        <v>0.1154</v>
      </c>
      <c r="N53" s="57">
        <v>5.5E-2</v>
      </c>
      <c r="O53" s="57">
        <v>1.3</v>
      </c>
      <c r="P53" s="57">
        <v>0.1633</v>
      </c>
      <c r="Q53" s="57">
        <v>7.9000000000000001E-2</v>
      </c>
      <c r="AG53" s="57">
        <v>0.79790000000000005</v>
      </c>
      <c r="AH53" s="57">
        <v>0.38</v>
      </c>
    </row>
    <row r="54" spans="1:34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</row>
    <row r="55" spans="1:34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</row>
    <row r="56" spans="1:34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</row>
    <row r="57" spans="1:34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</row>
    <row r="58" spans="1:34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</row>
    <row r="59" spans="1:34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</row>
    <row r="60" spans="1:34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</row>
    <row r="61" spans="1:34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</row>
    <row r="62" spans="1:34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</row>
    <row r="63" spans="1:34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</row>
    <row r="64" spans="1:34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</row>
    <row r="65" spans="1:34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</row>
    <row r="66" spans="1:34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</row>
    <row r="67" spans="1:34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</row>
    <row r="68" spans="1:34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</row>
    <row r="69" spans="1:34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</row>
    <row r="70" spans="1:34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</row>
    <row r="71" spans="1:34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</row>
    <row r="72" spans="1:34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</row>
    <row r="73" spans="1:34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</row>
    <row r="74" spans="1:34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</row>
    <row r="75" spans="1:34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I75" s="57">
        <v>1.4710000000000001</v>
      </c>
      <c r="J75" s="57">
        <v>0.219</v>
      </c>
      <c r="K75" s="57">
        <v>0.14000000000000001</v>
      </c>
      <c r="L75" s="57">
        <v>1.1499999999999999</v>
      </c>
      <c r="M75" s="57">
        <v>0.2296</v>
      </c>
      <c r="N75" s="57">
        <v>0.14399999999999999</v>
      </c>
      <c r="O75" s="57">
        <v>1.2889999999999999</v>
      </c>
      <c r="P75" s="57">
        <v>0.191</v>
      </c>
      <c r="Q75" s="57">
        <v>0.123</v>
      </c>
      <c r="AG75" s="57">
        <v>1.7242999999999999</v>
      </c>
      <c r="AH75" s="57">
        <v>0.70299999999999996</v>
      </c>
    </row>
    <row r="76" spans="1:34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</row>
    <row r="77" spans="1:34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</row>
    <row r="78" spans="1:34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</row>
    <row r="79" spans="1:34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</row>
    <row r="80" spans="1:34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</row>
    <row r="81" spans="1:34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34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I82" s="57">
        <v>1.36</v>
      </c>
      <c r="J82" s="57">
        <v>0.26290000000000002</v>
      </c>
      <c r="K82" s="57">
        <v>0.16600000000000001</v>
      </c>
      <c r="L82" s="57">
        <v>1.38</v>
      </c>
      <c r="M82" s="57">
        <v>0.31419999999999998</v>
      </c>
      <c r="N82" s="57">
        <v>0.19900000000000001</v>
      </c>
      <c r="O82" s="57">
        <v>1.3839999999999999</v>
      </c>
      <c r="P82" s="57">
        <v>0.37140000000000001</v>
      </c>
      <c r="Q82" s="57">
        <v>0.22800000000000001</v>
      </c>
      <c r="AG82" s="57">
        <v>1.1618999999999999</v>
      </c>
      <c r="AH82" s="57">
        <v>0.72799999999999998</v>
      </c>
    </row>
    <row r="83" spans="1:34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</row>
    <row r="84" spans="1:34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</row>
    <row r="85" spans="1:34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</row>
    <row r="86" spans="1:34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</row>
    <row r="87" spans="1:34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</row>
    <row r="88" spans="1:34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</row>
    <row r="89" spans="1:34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</row>
    <row r="90" spans="1:34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</row>
    <row r="91" spans="1:34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I91" s="57">
        <v>1.45</v>
      </c>
      <c r="J91" s="57">
        <v>7.6600000000000001E-2</v>
      </c>
      <c r="K91" s="57">
        <v>3.9E-2</v>
      </c>
      <c r="L91" s="57">
        <v>1.4159999999999999</v>
      </c>
      <c r="M91" s="57">
        <v>6.4600000000000005E-2</v>
      </c>
      <c r="N91" s="57">
        <v>3.3000000000000002E-2</v>
      </c>
      <c r="AG91" s="57">
        <v>0.32669999999999999</v>
      </c>
      <c r="AH91" s="57">
        <v>0.14899999999999999</v>
      </c>
    </row>
    <row r="92" spans="1:34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I92" s="57">
        <v>1.129</v>
      </c>
      <c r="J92" s="57">
        <v>0.158</v>
      </c>
      <c r="K92" s="57">
        <v>7.3999999999999996E-2</v>
      </c>
      <c r="L92" s="57">
        <v>0.998</v>
      </c>
      <c r="M92" s="57">
        <v>9.3399999999999997E-2</v>
      </c>
      <c r="N92" s="57">
        <v>4.5999999999999999E-2</v>
      </c>
      <c r="O92" s="57">
        <v>0.879</v>
      </c>
      <c r="P92" s="57">
        <v>0.14380000000000001</v>
      </c>
      <c r="Q92" s="57">
        <v>6.7000000000000004E-2</v>
      </c>
      <c r="AG92" s="57">
        <v>0.85970000000000002</v>
      </c>
      <c r="AH92" s="57">
        <v>0.41</v>
      </c>
    </row>
    <row r="93" spans="1:34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I93" s="57">
        <v>1.2170000000000001</v>
      </c>
      <c r="J93" s="57">
        <v>0.1206</v>
      </c>
      <c r="K93" s="57">
        <v>6.2E-2</v>
      </c>
      <c r="L93" s="57">
        <v>1.1879999999999999</v>
      </c>
      <c r="M93" s="57">
        <v>0.12280000000000001</v>
      </c>
      <c r="N93" s="57">
        <v>6.4000000000000001E-2</v>
      </c>
      <c r="O93" s="57">
        <v>1.228</v>
      </c>
      <c r="P93" s="57">
        <v>0.11940000000000001</v>
      </c>
      <c r="Q93" s="57">
        <v>6.3E-2</v>
      </c>
      <c r="AG93" s="57">
        <v>0.67859999999999998</v>
      </c>
      <c r="AH93" s="57">
        <v>0.28799999999999998</v>
      </c>
    </row>
    <row r="94" spans="1:34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</row>
    <row r="95" spans="1:34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34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34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34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34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34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34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34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34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34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34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34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34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I107" s="57">
        <v>1.4</v>
      </c>
      <c r="J107" s="57">
        <v>0.1492</v>
      </c>
      <c r="K107" s="57">
        <v>8.2000000000000003E-2</v>
      </c>
      <c r="L107" s="57">
        <v>1.2</v>
      </c>
      <c r="M107" s="57">
        <v>0.15959999999999999</v>
      </c>
      <c r="N107" s="57">
        <v>8.6999999999999994E-2</v>
      </c>
      <c r="O107" s="57">
        <v>1.6</v>
      </c>
      <c r="P107" s="57">
        <v>0.1804</v>
      </c>
      <c r="Q107" s="57">
        <v>0.10100000000000001</v>
      </c>
      <c r="AG107" s="57">
        <v>0.81110000000000004</v>
      </c>
      <c r="AH107" s="57">
        <v>0.439</v>
      </c>
    </row>
    <row r="108" spans="1:34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34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34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I110" s="57">
        <v>2.4500000000000002</v>
      </c>
      <c r="J110" s="57">
        <v>0.2082</v>
      </c>
      <c r="K110" s="57">
        <v>0.11700000000000001</v>
      </c>
      <c r="L110" s="57">
        <v>2.6</v>
      </c>
      <c r="M110" s="57">
        <v>0.21129999999999999</v>
      </c>
      <c r="N110" s="57">
        <v>0.12</v>
      </c>
      <c r="O110" s="57">
        <v>1.4</v>
      </c>
      <c r="P110" s="57">
        <v>0.42670000000000002</v>
      </c>
      <c r="Q110" s="57">
        <v>0.23400000000000001</v>
      </c>
      <c r="R110" s="57">
        <v>1.35</v>
      </c>
      <c r="S110" s="57">
        <v>0.22409999999999999</v>
      </c>
      <c r="T110" s="57">
        <v>0.123</v>
      </c>
      <c r="U110" s="57">
        <v>1.1000000000000001</v>
      </c>
      <c r="V110" s="57">
        <v>0.29249999999999998</v>
      </c>
      <c r="W110" s="57">
        <v>0.16</v>
      </c>
      <c r="X110" s="57">
        <v>1.6</v>
      </c>
      <c r="Y110" s="57">
        <v>0.1017</v>
      </c>
      <c r="Z110" s="57">
        <v>5.8000000000000003E-2</v>
      </c>
      <c r="AA110" s="57">
        <v>1.5</v>
      </c>
      <c r="AB110" s="57">
        <v>0.1953</v>
      </c>
      <c r="AC110" s="57">
        <v>0.109</v>
      </c>
      <c r="AG110" s="57">
        <v>0.19259999999999999</v>
      </c>
      <c r="AH110" s="57">
        <v>0.108</v>
      </c>
    </row>
    <row r="111" spans="1:34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I111" s="57">
        <v>0.95099999999999996</v>
      </c>
      <c r="J111" s="57">
        <v>0.1729</v>
      </c>
      <c r="K111" s="57">
        <v>9.5000000000000001E-2</v>
      </c>
      <c r="L111" s="57">
        <v>0.95</v>
      </c>
      <c r="M111" s="57">
        <v>0.1714</v>
      </c>
      <c r="N111" s="57">
        <v>9.6000000000000002E-2</v>
      </c>
      <c r="O111" s="57" t="s">
        <v>60</v>
      </c>
      <c r="P111" s="57">
        <v>9.5799999999999996E-2</v>
      </c>
      <c r="Q111" s="57">
        <v>5.2999999999999999E-2</v>
      </c>
      <c r="AG111" s="57">
        <v>0.77649999999999997</v>
      </c>
      <c r="AH111" s="57">
        <v>0.42599999999999999</v>
      </c>
    </row>
    <row r="112" spans="1:34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I112" s="57">
        <v>1.1000000000000001</v>
      </c>
      <c r="J112" s="57">
        <v>0.19650000000000001</v>
      </c>
      <c r="K112" s="57">
        <v>0.11</v>
      </c>
      <c r="L112" s="57">
        <v>1</v>
      </c>
      <c r="M112" s="57">
        <v>6.0100000000000001E-2</v>
      </c>
      <c r="N112" s="57">
        <v>3.4000000000000002E-2</v>
      </c>
      <c r="O112" s="57">
        <v>1.1000000000000001</v>
      </c>
      <c r="P112" s="57">
        <v>0.11700000000000001</v>
      </c>
      <c r="Q112" s="57">
        <v>6.7000000000000004E-2</v>
      </c>
      <c r="AG112" s="57">
        <v>1.1212</v>
      </c>
      <c r="AH112" s="57">
        <v>0.61899999999999999</v>
      </c>
    </row>
    <row r="113" spans="1:60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</row>
    <row r="114" spans="1:60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</row>
    <row r="115" spans="1:60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</row>
    <row r="116" spans="1:60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</row>
    <row r="117" spans="1:60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E117" s="57" t="s">
        <v>138</v>
      </c>
      <c r="I117" s="57">
        <v>1.52</v>
      </c>
      <c r="J117" s="57">
        <v>0.25269999999999998</v>
      </c>
      <c r="K117" s="57">
        <v>0.10299999999999999</v>
      </c>
      <c r="L117" s="57">
        <v>1.351</v>
      </c>
      <c r="M117" s="57">
        <v>0.1469</v>
      </c>
      <c r="N117" s="57">
        <v>6.3E-2</v>
      </c>
      <c r="O117" s="57">
        <v>1.7969999999999999</v>
      </c>
      <c r="P117" s="57">
        <v>0.19889999999999999</v>
      </c>
      <c r="Q117" s="57">
        <v>0.08</v>
      </c>
      <c r="R117" s="57">
        <v>1.139</v>
      </c>
      <c r="S117" s="57">
        <v>0.16250000000000001</v>
      </c>
      <c r="T117" s="57">
        <v>7.0000000000000007E-2</v>
      </c>
      <c r="U117" s="57">
        <v>1.1040000000000001</v>
      </c>
      <c r="V117" s="57">
        <v>6.7799999999999999E-2</v>
      </c>
      <c r="W117" s="57">
        <v>2.7E-2</v>
      </c>
    </row>
    <row r="118" spans="1:60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E118" s="57" t="s">
        <v>140</v>
      </c>
    </row>
    <row r="119" spans="1:60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E119" s="57" t="s">
        <v>141</v>
      </c>
    </row>
    <row r="120" spans="1:60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E120" s="57" t="s">
        <v>143</v>
      </c>
      <c r="I120" s="57">
        <v>2.2229999999999999</v>
      </c>
      <c r="J120" s="57">
        <v>0.74399999999999999</v>
      </c>
      <c r="K120" s="57">
        <v>0.29649999999999999</v>
      </c>
      <c r="L120" s="57">
        <v>2.0390000000000001</v>
      </c>
      <c r="M120" s="57">
        <v>0.38890000000000002</v>
      </c>
      <c r="N120" s="57">
        <v>0.157</v>
      </c>
      <c r="O120" s="57">
        <v>2.1</v>
      </c>
      <c r="P120" s="57">
        <v>0.57040000000000002</v>
      </c>
      <c r="Q120" s="57">
        <v>0.23100000000000001</v>
      </c>
      <c r="R120" s="57">
        <v>2.4430000000000001</v>
      </c>
      <c r="S120" s="57">
        <v>0.3725</v>
      </c>
      <c r="T120" s="57">
        <v>0.182</v>
      </c>
      <c r="U120" s="57">
        <v>2.1429999999999998</v>
      </c>
      <c r="V120" s="57">
        <v>0.58350000000000002</v>
      </c>
      <c r="W120" s="57">
        <v>0.27</v>
      </c>
      <c r="X120" s="57">
        <v>2.3620000000000001</v>
      </c>
      <c r="Y120" s="57">
        <v>0.42530000000000001</v>
      </c>
      <c r="Z120" s="57">
        <v>0.20200000000000001</v>
      </c>
    </row>
    <row r="121" spans="1:60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E121" s="57" t="s">
        <v>144</v>
      </c>
    </row>
    <row r="122" spans="1:60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E122" s="57" t="s">
        <v>145</v>
      </c>
    </row>
    <row r="123" spans="1:60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  <c r="AJ123" s="57">
        <v>0.96</v>
      </c>
      <c r="AM123" s="57">
        <v>0.95</v>
      </c>
      <c r="AP123" s="57">
        <v>0.85</v>
      </c>
      <c r="AS123" s="57">
        <v>0.67</v>
      </c>
      <c r="AV123" s="57">
        <v>1.51</v>
      </c>
      <c r="AY123" s="57">
        <v>1.22</v>
      </c>
      <c r="BB123" s="57">
        <v>1.38</v>
      </c>
      <c r="BE123" s="57">
        <v>1.117</v>
      </c>
      <c r="BF123" s="57">
        <v>0.36599999999999999</v>
      </c>
    </row>
    <row r="124" spans="1:60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  <c r="AJ124" s="57">
        <v>1.18</v>
      </c>
      <c r="AM124" s="57">
        <v>1.93</v>
      </c>
      <c r="AP124" s="57">
        <v>2.2000000000000002</v>
      </c>
      <c r="AS124" s="57">
        <v>1.3</v>
      </c>
      <c r="AV124" s="33">
        <f>AVERAGE(1.02,1.45)</f>
        <v>1.2349999999999999</v>
      </c>
      <c r="AY124" s="57">
        <v>1.27</v>
      </c>
      <c r="BB124" s="57">
        <v>1.9</v>
      </c>
      <c r="BE124" s="57">
        <v>1.619</v>
      </c>
      <c r="BF124" s="57">
        <v>0.66100000000000003</v>
      </c>
    </row>
    <row r="125" spans="1:60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  <c r="AJ125" s="57">
        <v>1.29</v>
      </c>
      <c r="AM125" s="57">
        <v>1.45</v>
      </c>
      <c r="AP125" s="57">
        <v>1.24</v>
      </c>
      <c r="AS125" s="57">
        <v>1.85</v>
      </c>
      <c r="AV125" s="57">
        <v>1.45</v>
      </c>
      <c r="AY125" s="57">
        <v>1.38</v>
      </c>
      <c r="BE125" s="57">
        <v>2.073</v>
      </c>
      <c r="BF125" s="57">
        <v>0.94699999999999995</v>
      </c>
    </row>
    <row r="126" spans="1:60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  <c r="AJ126" s="57">
        <v>2.04</v>
      </c>
      <c r="AM126" s="57">
        <v>1.85</v>
      </c>
      <c r="AP126" s="57">
        <v>1.8</v>
      </c>
      <c r="AS126" s="57">
        <v>1.88</v>
      </c>
      <c r="BE126" s="57">
        <v>1.744</v>
      </c>
      <c r="BF126" s="57">
        <v>0.57099999999999995</v>
      </c>
    </row>
    <row r="127" spans="1:60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  <c r="AJ127" s="57">
        <v>1.23</v>
      </c>
      <c r="AM127" s="57">
        <v>1.4</v>
      </c>
      <c r="AP127" s="57">
        <v>1.1499999999999999</v>
      </c>
      <c r="AS127" s="57">
        <v>1.5</v>
      </c>
      <c r="BE127" s="57">
        <v>1.948</v>
      </c>
      <c r="BF127" s="57">
        <v>0.85299999999999998</v>
      </c>
      <c r="BH127" s="57" t="s">
        <v>294</v>
      </c>
    </row>
    <row r="128" spans="1:60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  <c r="AJ128" s="57">
        <v>1.43</v>
      </c>
      <c r="AM128" s="57">
        <v>1.25</v>
      </c>
      <c r="AP128" s="57">
        <v>1.24</v>
      </c>
      <c r="AS128" s="57">
        <v>1.2</v>
      </c>
      <c r="BE128" s="57">
        <v>1.3460000000000001</v>
      </c>
      <c r="BF128" s="57">
        <v>0.35299999999999998</v>
      </c>
    </row>
    <row r="129" spans="1:58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  <c r="AJ129" s="57">
        <v>1.4</v>
      </c>
      <c r="AM129" s="57">
        <v>1.32</v>
      </c>
      <c r="AP129" s="57">
        <v>1.2</v>
      </c>
      <c r="BE129" s="57">
        <v>1.292</v>
      </c>
      <c r="BF129" s="57">
        <v>0.29099999999999998</v>
      </c>
    </row>
    <row r="130" spans="1:58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  <c r="AJ130" s="57">
        <v>1.55</v>
      </c>
      <c r="AM130" s="57">
        <v>1.56</v>
      </c>
      <c r="AP130" s="57">
        <v>1.65</v>
      </c>
      <c r="BE130" s="57">
        <v>1.9059999999999999</v>
      </c>
      <c r="BF130" s="57">
        <v>0.84499999999999997</v>
      </c>
    </row>
    <row r="131" spans="1:58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  <c r="AJ131" s="57">
        <v>1.45</v>
      </c>
      <c r="AM131" s="57">
        <v>1.31</v>
      </c>
      <c r="AP131" s="57">
        <v>1.68</v>
      </c>
      <c r="AS131" s="57">
        <v>1.63</v>
      </c>
      <c r="BE131" s="57">
        <v>2.2999999999999998</v>
      </c>
      <c r="BF131" s="57">
        <v>0.76200000000000001</v>
      </c>
    </row>
    <row r="132" spans="1:58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</row>
    <row r="133" spans="1:58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</row>
    <row r="134" spans="1:58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</row>
    <row r="135" spans="1:58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</row>
    <row r="136" spans="1:58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</row>
    <row r="137" spans="1:58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</row>
    <row r="138" spans="1:58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</row>
    <row r="139" spans="1:58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</row>
    <row r="140" spans="1:58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</row>
    <row r="141" spans="1:58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</row>
    <row r="142" spans="1:58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</row>
    <row r="143" spans="1:58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</row>
    <row r="144" spans="1:58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</row>
    <row r="145" spans="1:34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</row>
    <row r="146" spans="1:34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</row>
    <row r="147" spans="1:34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</row>
    <row r="148" spans="1:34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</row>
    <row r="149" spans="1:34" x14ac:dyDescent="0.2">
      <c r="A149" s="57" t="s">
        <v>114</v>
      </c>
      <c r="B149" s="76" t="s">
        <v>133</v>
      </c>
      <c r="D149" s="54" t="s">
        <v>64</v>
      </c>
      <c r="E149" s="57">
        <v>2011</v>
      </c>
      <c r="I149" s="57">
        <v>1.6</v>
      </c>
      <c r="J149" s="57">
        <v>0.124</v>
      </c>
      <c r="K149" s="57">
        <v>7.0000000000000007E-2</v>
      </c>
      <c r="L149" s="57">
        <v>1.3</v>
      </c>
      <c r="M149" s="57">
        <v>0.13059999999999999</v>
      </c>
      <c r="N149" s="57">
        <v>7.1999999999999995E-2</v>
      </c>
      <c r="O149" s="57">
        <v>1.6</v>
      </c>
      <c r="P149" s="57">
        <v>0.1235</v>
      </c>
      <c r="Q149" s="57">
        <v>6.9000000000000006E-2</v>
      </c>
      <c r="AG149" s="57">
        <v>1.1258999999999999</v>
      </c>
      <c r="AH149" s="57">
        <v>0.61299999999999999</v>
      </c>
    </row>
    <row r="150" spans="1:34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  <c r="I150" s="57">
        <v>1.46</v>
      </c>
      <c r="J150" s="57">
        <v>0.2034</v>
      </c>
      <c r="K150" s="57">
        <v>0.112</v>
      </c>
      <c r="L150" s="57">
        <v>1.29</v>
      </c>
      <c r="M150" s="57">
        <v>0.18140000000000001</v>
      </c>
      <c r="N150" s="57">
        <v>9.9000000000000005E-2</v>
      </c>
      <c r="O150" s="57">
        <v>1.2150000000000001</v>
      </c>
      <c r="P150" s="57">
        <v>0.25559999999999999</v>
      </c>
      <c r="Q150" s="57">
        <v>0.14000000000000001</v>
      </c>
      <c r="R150" s="57">
        <v>1.4159999999999999</v>
      </c>
      <c r="S150" s="57">
        <v>0.12770000000000001</v>
      </c>
      <c r="T150" s="57">
        <v>7.1999999999999995E-2</v>
      </c>
      <c r="AG150" s="57">
        <v>0.72060000000000002</v>
      </c>
      <c r="AH150" s="57">
        <v>0.39100000000000001</v>
      </c>
    </row>
    <row r="151" spans="1:34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  <c r="I151" s="57">
        <v>1.2789999999999999</v>
      </c>
      <c r="J151" s="57">
        <v>0.111</v>
      </c>
      <c r="K151" s="57">
        <v>0.06</v>
      </c>
      <c r="L151" s="57">
        <v>1.3009999999999999</v>
      </c>
      <c r="M151" s="57">
        <v>0.1331</v>
      </c>
      <c r="N151" s="57">
        <v>7.0999999999999994E-2</v>
      </c>
      <c r="O151" s="57">
        <v>1.4</v>
      </c>
      <c r="P151" s="57">
        <v>0.15770000000000001</v>
      </c>
      <c r="Q151" s="57">
        <v>8.5000000000000006E-2</v>
      </c>
      <c r="AG151" s="57">
        <v>0.83950000000000002</v>
      </c>
      <c r="AH151" s="57">
        <v>0.439</v>
      </c>
    </row>
    <row r="152" spans="1:34" x14ac:dyDescent="0.2">
      <c r="A152" s="57" t="s">
        <v>134</v>
      </c>
      <c r="B152" s="76" t="s">
        <v>135</v>
      </c>
      <c r="D152" s="54" t="s">
        <v>64</v>
      </c>
      <c r="E152" s="57">
        <v>2008</v>
      </c>
    </row>
    <row r="153" spans="1:34" x14ac:dyDescent="0.2">
      <c r="D153" s="54"/>
    </row>
    <row r="154" spans="1:34" x14ac:dyDescent="0.2">
      <c r="D154" s="3"/>
    </row>
    <row r="155" spans="1:34" x14ac:dyDescent="0.2">
      <c r="D155" s="3"/>
    </row>
    <row r="156" spans="1:34" x14ac:dyDescent="0.2">
      <c r="D156" s="3"/>
    </row>
    <row r="157" spans="1:34" x14ac:dyDescent="0.2">
      <c r="D157" s="3"/>
    </row>
    <row r="158" spans="1:34" x14ac:dyDescent="0.2">
      <c r="D158" s="3"/>
    </row>
    <row r="159" spans="1:34" x14ac:dyDescent="0.2">
      <c r="D159" s="3"/>
    </row>
    <row r="160" spans="1:34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6D7A8"/>
    <outlinePr summaryBelow="0" summaryRight="0"/>
  </sheetPr>
  <dimension ref="A1:BH314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0" x14ac:dyDescent="0.2">
      <c r="C1" s="74" t="s">
        <v>207</v>
      </c>
      <c r="D1" s="1"/>
      <c r="E1" s="1"/>
    </row>
    <row r="3" spans="1:60" x14ac:dyDescent="0.2">
      <c r="C3" s="12" t="s">
        <v>1</v>
      </c>
      <c r="D3" s="38" t="s">
        <v>208</v>
      </c>
      <c r="E3" s="12"/>
    </row>
    <row r="4" spans="1:60" x14ac:dyDescent="0.2">
      <c r="C4" s="12" t="s">
        <v>3</v>
      </c>
      <c r="D4" s="38" t="s">
        <v>295</v>
      </c>
    </row>
    <row r="6" spans="1:60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</row>
    <row r="7" spans="1:60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H7" s="70">
        <v>44664</v>
      </c>
      <c r="AJ7" s="57">
        <v>2.202</v>
      </c>
      <c r="AK7" s="57">
        <v>8.7800000000000003E-2</v>
      </c>
      <c r="AL7" s="85">
        <v>5.7000000000000002E-2</v>
      </c>
      <c r="AM7" s="57">
        <v>2.7410000000000001</v>
      </c>
      <c r="AN7" s="79">
        <v>0.14130000000000001</v>
      </c>
      <c r="AO7" s="85">
        <v>8.0299999999999996E-2</v>
      </c>
      <c r="AP7" s="57">
        <v>2.5910000000000002</v>
      </c>
      <c r="AQ7" s="57">
        <v>0.1226</v>
      </c>
      <c r="AR7" s="85">
        <v>7.1499999999999994E-2</v>
      </c>
      <c r="AS7" s="57">
        <v>3.7509999999999999</v>
      </c>
      <c r="AT7" s="57">
        <v>0.1454</v>
      </c>
      <c r="AU7" s="85">
        <v>8.2699999999999996E-2</v>
      </c>
      <c r="BE7" s="57">
        <v>0.45540000000000003</v>
      </c>
      <c r="BF7" s="85">
        <v>0.24940000000000001</v>
      </c>
      <c r="BH7" s="85" t="s">
        <v>296</v>
      </c>
    </row>
    <row r="8" spans="1:60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</row>
    <row r="9" spans="1:60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H9" s="70">
        <v>44664</v>
      </c>
      <c r="AJ9" s="57">
        <v>1.4650000000000001</v>
      </c>
      <c r="AK9" s="57">
        <v>9.9400000000000002E-2</v>
      </c>
      <c r="AL9" s="85">
        <v>5.3400000000000003E-2</v>
      </c>
      <c r="AM9" s="57">
        <v>1.871</v>
      </c>
      <c r="AN9" s="57">
        <v>0.1666</v>
      </c>
      <c r="AO9" s="85">
        <v>8.9800000000000005E-2</v>
      </c>
      <c r="AP9" s="57">
        <v>1.5760000000000001</v>
      </c>
      <c r="AQ9" s="57">
        <v>8.7900000000000006E-2</v>
      </c>
      <c r="AR9" s="85">
        <v>4.7500000000000001E-2</v>
      </c>
      <c r="BE9" s="57">
        <v>1.4139999999999999</v>
      </c>
      <c r="BF9" s="85">
        <v>0.6109</v>
      </c>
      <c r="BH9" s="85" t="s">
        <v>297</v>
      </c>
    </row>
    <row r="10" spans="1:60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</row>
    <row r="11" spans="1:60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0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</row>
    <row r="13" spans="1:60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</row>
    <row r="14" spans="1:60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0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</row>
    <row r="16" spans="1:60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</row>
    <row r="17" spans="1:60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60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H18" s="70">
        <v>44664</v>
      </c>
      <c r="AJ18" s="57">
        <v>2.371</v>
      </c>
      <c r="AK18" s="57">
        <v>0.12609999999999999</v>
      </c>
      <c r="AL18" s="85">
        <v>7.0099999999999996E-2</v>
      </c>
      <c r="AM18" s="57">
        <v>2.84</v>
      </c>
      <c r="AN18" s="57">
        <v>0.1071</v>
      </c>
      <c r="AO18" s="85">
        <v>5.9299999999999999E-2</v>
      </c>
      <c r="AP18" s="57">
        <v>2.4809999999999999</v>
      </c>
      <c r="AQ18" s="57">
        <v>0.1076</v>
      </c>
      <c r="AR18" s="85">
        <v>6.0100000000000001E-2</v>
      </c>
      <c r="AS18" s="57">
        <v>2.3889999999999998</v>
      </c>
      <c r="AT18" s="57">
        <v>0.13109999999999999</v>
      </c>
      <c r="AU18" s="85">
        <v>7.3700000000000002E-2</v>
      </c>
      <c r="BE18" s="57">
        <v>0.18709999999999999</v>
      </c>
      <c r="BF18" s="85">
        <v>0.1026</v>
      </c>
    </row>
    <row r="19" spans="1:60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</row>
    <row r="20" spans="1:60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60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</row>
    <row r="22" spans="1:60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</row>
    <row r="23" spans="1:60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</row>
    <row r="24" spans="1:60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G24" s="57">
        <v>10</v>
      </c>
      <c r="H24" s="70">
        <v>44664</v>
      </c>
      <c r="AJ24" s="57">
        <v>1.5649999999999999</v>
      </c>
      <c r="AK24" s="57">
        <v>7.4099999999999999E-2</v>
      </c>
      <c r="AL24" s="85">
        <v>3.9800000000000002E-2</v>
      </c>
      <c r="AM24" s="57">
        <v>1.4059999999999999</v>
      </c>
      <c r="AN24" s="57">
        <v>6.6699999999999995E-2</v>
      </c>
      <c r="AO24" s="85">
        <v>3.6299999999999999E-2</v>
      </c>
      <c r="AP24" s="57">
        <v>1.7809999999999999</v>
      </c>
      <c r="AQ24" s="57">
        <v>9.4899999999999998E-2</v>
      </c>
      <c r="AR24" s="85">
        <v>4.9500000000000002E-2</v>
      </c>
      <c r="AS24" s="57">
        <v>2.234</v>
      </c>
      <c r="AT24" s="57">
        <v>7.7499999999999999E-2</v>
      </c>
      <c r="AU24" s="85">
        <v>4.1200000000000001E-2</v>
      </c>
      <c r="AV24" s="57">
        <v>2.1480000000000001</v>
      </c>
      <c r="AW24" s="57">
        <v>8.9899999999999994E-2</v>
      </c>
      <c r="AX24" s="85">
        <v>4.8099999999999997E-2</v>
      </c>
      <c r="AY24" s="57">
        <v>1.6679999999999999</v>
      </c>
      <c r="AZ24" s="57">
        <v>6.3399999999999998E-2</v>
      </c>
      <c r="BA24" s="85">
        <v>3.3599999999999998E-2</v>
      </c>
      <c r="BE24" s="57">
        <v>1.3667</v>
      </c>
      <c r="BF24" s="85">
        <v>0.72950000000000004</v>
      </c>
    </row>
    <row r="25" spans="1:60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</row>
    <row r="26" spans="1:60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60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G27" s="57">
        <v>10</v>
      </c>
      <c r="H27" s="70">
        <v>44664</v>
      </c>
      <c r="AJ27" s="57">
        <v>2.371</v>
      </c>
      <c r="AK27" s="57">
        <v>0.1249</v>
      </c>
      <c r="AL27" s="85">
        <v>6.7400000000000002E-2</v>
      </c>
      <c r="AM27" s="57">
        <v>2.3450000000000002</v>
      </c>
      <c r="AN27" s="57">
        <v>9.9500000000000005E-2</v>
      </c>
      <c r="AO27" s="85">
        <v>6.08E-2</v>
      </c>
      <c r="AP27" s="57">
        <v>2.1379999999999999</v>
      </c>
      <c r="AQ27" s="57">
        <v>7.6799999999999993E-2</v>
      </c>
      <c r="AR27" s="85">
        <v>5.4100000000000002E-2</v>
      </c>
      <c r="AS27" s="57">
        <v>1.4330000000000001</v>
      </c>
      <c r="AT27" s="57">
        <v>0.1145</v>
      </c>
      <c r="AU27" s="85">
        <v>4.19E-2</v>
      </c>
      <c r="BE27" s="57">
        <v>1.0848</v>
      </c>
      <c r="BF27" s="85">
        <v>0.57750000000000001</v>
      </c>
    </row>
    <row r="28" spans="1:60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60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60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G30" s="57">
        <v>10</v>
      </c>
      <c r="H30" s="70">
        <v>44664</v>
      </c>
      <c r="AJ30" s="57">
        <v>2.4910000000000001</v>
      </c>
      <c r="AK30" s="57">
        <v>9.0300000000000005E-2</v>
      </c>
      <c r="AM30" s="57">
        <v>2.831</v>
      </c>
      <c r="AN30" s="57">
        <v>7.5600000000000001E-2</v>
      </c>
      <c r="AP30" s="57">
        <v>2.887</v>
      </c>
      <c r="AQ30" s="57">
        <v>7.5899999999999995E-2</v>
      </c>
      <c r="AS30" s="57">
        <v>2.4580000000000002</v>
      </c>
      <c r="AT30" s="57">
        <v>6.3100000000000003E-2</v>
      </c>
      <c r="BE30" s="57">
        <v>0.71079999999999999</v>
      </c>
    </row>
    <row r="31" spans="1:60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H31" s="70">
        <v>44664</v>
      </c>
      <c r="AJ31" s="57">
        <v>1.4159999999999999</v>
      </c>
      <c r="AK31" s="57">
        <v>0.2999</v>
      </c>
      <c r="AL31" s="85">
        <v>0.1769</v>
      </c>
      <c r="AM31" s="57">
        <v>1.671</v>
      </c>
      <c r="AN31" s="57">
        <v>0.17369999999999999</v>
      </c>
      <c r="AO31" s="85">
        <v>0.1089</v>
      </c>
      <c r="AP31" s="57">
        <v>1.591</v>
      </c>
      <c r="AQ31" s="57">
        <v>0.1913</v>
      </c>
      <c r="AR31" s="85">
        <v>0.1179</v>
      </c>
      <c r="BE31" s="57">
        <v>2.0487000000000002</v>
      </c>
      <c r="BF31" s="85">
        <v>1.2531000000000001</v>
      </c>
    </row>
    <row r="32" spans="1:60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H32" s="70">
        <v>44664</v>
      </c>
      <c r="AJ32" s="57">
        <v>2.0070000000000001</v>
      </c>
      <c r="AK32" s="57">
        <v>0.1913</v>
      </c>
      <c r="AL32" s="85">
        <v>0.1038</v>
      </c>
      <c r="AM32" s="57">
        <v>1.591</v>
      </c>
      <c r="AN32" s="57">
        <v>0.4163</v>
      </c>
      <c r="AO32" s="85">
        <v>0.23</v>
      </c>
      <c r="AP32" s="57">
        <v>1.843</v>
      </c>
      <c r="AQ32" s="57">
        <v>0.18179999999999999</v>
      </c>
      <c r="AR32" s="85">
        <v>0.1009</v>
      </c>
      <c r="AS32" s="57">
        <v>2.089</v>
      </c>
      <c r="AT32" s="57">
        <v>0.1119</v>
      </c>
      <c r="AU32" s="85">
        <v>6.3299999999999995E-2</v>
      </c>
      <c r="AV32" s="57">
        <v>2.1616</v>
      </c>
      <c r="AW32" s="57">
        <v>0.15390000000000001</v>
      </c>
      <c r="AX32" s="85">
        <v>8.43E-2</v>
      </c>
      <c r="AY32" s="57">
        <v>1.69</v>
      </c>
      <c r="AZ32" s="57">
        <v>0.32590000000000002</v>
      </c>
      <c r="BB32" s="57">
        <v>1.9410000000000001</v>
      </c>
      <c r="BC32" s="57">
        <v>0.32940000000000003</v>
      </c>
      <c r="BE32" s="57">
        <v>1.3205</v>
      </c>
      <c r="BF32" s="85">
        <v>0.71479999999999999</v>
      </c>
      <c r="BH32" s="85" t="s">
        <v>298</v>
      </c>
    </row>
    <row r="33" spans="1:60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H33" s="70">
        <v>44664</v>
      </c>
      <c r="AJ33" s="57">
        <v>1.651</v>
      </c>
      <c r="AK33" s="57">
        <v>0.11799999999999999</v>
      </c>
      <c r="AL33" s="85">
        <v>6.2700000000000006E-2</v>
      </c>
      <c r="AM33" s="57">
        <v>1.591</v>
      </c>
      <c r="AN33" s="57">
        <v>0.10100000000000001</v>
      </c>
      <c r="AO33" s="85">
        <v>5.3499999999999999E-2</v>
      </c>
      <c r="BE33" s="57">
        <v>1.1839</v>
      </c>
      <c r="BF33" s="85">
        <v>0.63400000000000001</v>
      </c>
    </row>
    <row r="34" spans="1:60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H34" s="70">
        <v>44664</v>
      </c>
      <c r="AJ34" s="57">
        <v>2.145</v>
      </c>
      <c r="AK34" s="57">
        <v>0.1263</v>
      </c>
      <c r="AL34" s="85">
        <v>7.0599999999999996E-2</v>
      </c>
      <c r="AM34" s="57">
        <v>3.17</v>
      </c>
      <c r="AN34" s="57">
        <v>0.20910000000000001</v>
      </c>
      <c r="AO34" s="85">
        <v>0.1195</v>
      </c>
      <c r="AP34" s="57">
        <v>2.032</v>
      </c>
      <c r="AQ34" s="57">
        <v>9.8599999999999993E-2</v>
      </c>
      <c r="AR34" s="85">
        <v>5.57E-2</v>
      </c>
      <c r="AS34" s="57">
        <v>2.6909999999999998</v>
      </c>
      <c r="AT34" s="57">
        <v>0.11269999999999999</v>
      </c>
      <c r="AU34" s="85">
        <v>6.4299999999999996E-2</v>
      </c>
      <c r="AV34" s="57">
        <v>2.177</v>
      </c>
      <c r="AW34" s="57">
        <v>0.1799</v>
      </c>
      <c r="AX34" s="85">
        <v>0.1023</v>
      </c>
      <c r="BE34" s="57">
        <v>1.7070000000000001</v>
      </c>
      <c r="BF34" s="85">
        <v>0.94189999999999996</v>
      </c>
    </row>
    <row r="35" spans="1:60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H35" s="70">
        <v>44664</v>
      </c>
      <c r="AJ35" s="57">
        <v>0.96099999999999997</v>
      </c>
      <c r="AK35" s="57">
        <v>0.2316</v>
      </c>
      <c r="AL35" s="85">
        <v>0.14729999999999999</v>
      </c>
      <c r="AM35" s="57">
        <v>0.76800000000000002</v>
      </c>
      <c r="AN35" s="57">
        <v>0.2412</v>
      </c>
      <c r="AO35" s="85">
        <v>0.1552</v>
      </c>
      <c r="AP35" s="57">
        <v>0.76600000000000001</v>
      </c>
      <c r="AQ35" s="57">
        <v>0.24210000000000001</v>
      </c>
      <c r="AR35" s="85">
        <v>0.1552</v>
      </c>
      <c r="BE35" s="57">
        <v>1.7381</v>
      </c>
      <c r="BF35" s="85">
        <v>1.1364000000000001</v>
      </c>
      <c r="BH35" s="85" t="s">
        <v>299</v>
      </c>
    </row>
    <row r="36" spans="1:60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</row>
    <row r="37" spans="1:60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</row>
    <row r="38" spans="1:60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</row>
    <row r="39" spans="1:60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</row>
    <row r="40" spans="1:60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</row>
    <row r="41" spans="1:60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</row>
    <row r="42" spans="1:60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G42" s="57">
        <v>10</v>
      </c>
      <c r="H42" s="70">
        <v>44664</v>
      </c>
      <c r="AJ42" s="57">
        <v>1.855</v>
      </c>
      <c r="AK42" s="57">
        <v>0.17730000000000001</v>
      </c>
      <c r="AL42" s="85">
        <v>9.5100000000000004E-2</v>
      </c>
      <c r="AM42" s="57">
        <v>1.7909999999999999</v>
      </c>
      <c r="AN42" s="57">
        <v>0.42330000000000001</v>
      </c>
      <c r="AO42" s="85">
        <v>0.12690000000000001</v>
      </c>
      <c r="AP42" s="57">
        <v>2.0129999999999999</v>
      </c>
      <c r="AQ42" s="57">
        <v>0.22770000000000001</v>
      </c>
      <c r="AR42" s="85">
        <v>0.1197</v>
      </c>
      <c r="BE42" s="57">
        <v>1.6338999999999999</v>
      </c>
      <c r="BF42" s="85">
        <v>0.84409999999999996</v>
      </c>
    </row>
    <row r="43" spans="1:60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60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</row>
    <row r="45" spans="1:60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60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H46" s="70">
        <v>44664</v>
      </c>
      <c r="AJ46" s="57">
        <v>2.1320000000000001</v>
      </c>
      <c r="AK46" s="57">
        <v>0.22739999999999999</v>
      </c>
      <c r="AL46" s="85">
        <v>0.13800000000000001</v>
      </c>
      <c r="AM46" s="57">
        <v>2.323</v>
      </c>
      <c r="AN46" s="57">
        <v>0.16200000000000001</v>
      </c>
      <c r="AO46" s="85">
        <v>0.1026</v>
      </c>
      <c r="AP46" s="57">
        <v>2.7189999999999999</v>
      </c>
      <c r="AQ46" s="57">
        <v>0.23269999999999999</v>
      </c>
      <c r="AR46" s="85">
        <v>0.14580000000000001</v>
      </c>
      <c r="AS46" s="57">
        <v>2.6909999999999998</v>
      </c>
      <c r="AT46" s="57">
        <v>0.15809999999999999</v>
      </c>
      <c r="AU46" s="85">
        <v>9.7799999999999998E-2</v>
      </c>
      <c r="BE46" s="57">
        <v>0.68930000000000002</v>
      </c>
      <c r="BF46" s="85">
        <v>0.41839999999999999</v>
      </c>
    </row>
    <row r="47" spans="1:60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G47" s="57">
        <v>10</v>
      </c>
      <c r="H47" s="70">
        <v>44664</v>
      </c>
      <c r="AJ47" s="57">
        <v>1.9119999999999999</v>
      </c>
      <c r="AK47" s="57">
        <v>0.64190000000000003</v>
      </c>
      <c r="AL47" s="85">
        <v>2.4E-2</v>
      </c>
      <c r="AM47" s="57">
        <v>2.1120000000000001</v>
      </c>
      <c r="AN47" s="57">
        <v>4.3400000000000001E-2</v>
      </c>
      <c r="AO47" s="85">
        <v>2.5700000000000001E-2</v>
      </c>
      <c r="AP47" s="57">
        <v>1.92</v>
      </c>
      <c r="AQ47" s="57">
        <v>5.4399999999999997E-2</v>
      </c>
      <c r="AR47" s="85">
        <v>3.1899999999999998E-2</v>
      </c>
      <c r="BE47" s="57">
        <v>0.97519999999999996</v>
      </c>
      <c r="BF47" s="85">
        <v>0.55549999999999999</v>
      </c>
      <c r="BH47" s="85" t="s">
        <v>300</v>
      </c>
    </row>
    <row r="48" spans="1:60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G48" s="57">
        <v>10</v>
      </c>
      <c r="AJ48" s="57">
        <v>1.71</v>
      </c>
      <c r="AK48" s="57">
        <v>0.1245</v>
      </c>
      <c r="AL48" s="85">
        <v>6.6299999999999998E-2</v>
      </c>
      <c r="AM48" s="57">
        <v>1.411</v>
      </c>
      <c r="AN48" s="57">
        <v>9.1899999999999996E-2</v>
      </c>
      <c r="AO48" s="85">
        <v>4.8899999999999999E-2</v>
      </c>
      <c r="AP48" s="57">
        <v>1.556</v>
      </c>
      <c r="AQ48" s="57">
        <v>0.1069</v>
      </c>
      <c r="AR48" s="85">
        <v>5.7299999999999997E-2</v>
      </c>
      <c r="BE48" s="57">
        <v>0.96879999999999999</v>
      </c>
      <c r="BF48" s="85">
        <v>0.49370000000000003</v>
      </c>
    </row>
    <row r="49" spans="1:58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</row>
    <row r="50" spans="1:58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</row>
    <row r="51" spans="1:58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</row>
    <row r="52" spans="1:58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</row>
    <row r="53" spans="1:58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H53" s="70">
        <v>44664</v>
      </c>
      <c r="AJ53" s="57">
        <v>2.101</v>
      </c>
      <c r="AK53" s="57">
        <v>0.11700000000000001</v>
      </c>
      <c r="AL53" s="85">
        <v>6.0699999999999997E-2</v>
      </c>
      <c r="AM53" s="57">
        <v>1.841</v>
      </c>
      <c r="AN53" s="57">
        <v>0.1187</v>
      </c>
      <c r="AO53" s="85">
        <v>6.13E-2</v>
      </c>
      <c r="AP53" s="57">
        <v>1.845</v>
      </c>
      <c r="AQ53" s="57">
        <v>0.16539999999999999</v>
      </c>
      <c r="AR53" s="85">
        <v>8.6300000000000002E-2</v>
      </c>
      <c r="BE53" s="57">
        <v>1.2327999999999999</v>
      </c>
      <c r="BF53" s="85">
        <v>0.61890000000000001</v>
      </c>
    </row>
    <row r="54" spans="1:58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</row>
    <row r="55" spans="1:58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</row>
    <row r="56" spans="1:58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</row>
    <row r="57" spans="1:58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</row>
    <row r="58" spans="1:58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</row>
    <row r="59" spans="1:58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</row>
    <row r="60" spans="1:58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</row>
    <row r="61" spans="1:58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</row>
    <row r="62" spans="1:58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</row>
    <row r="63" spans="1:58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</row>
    <row r="64" spans="1:58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</row>
    <row r="65" spans="1:58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</row>
    <row r="66" spans="1:58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</row>
    <row r="67" spans="1:58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</row>
    <row r="68" spans="1:58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</row>
    <row r="69" spans="1:58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</row>
    <row r="70" spans="1:58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</row>
    <row r="71" spans="1:58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</row>
    <row r="72" spans="1:58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</row>
    <row r="73" spans="1:58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</row>
    <row r="74" spans="1:58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</row>
    <row r="75" spans="1:58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H75" s="70">
        <v>44664</v>
      </c>
      <c r="AJ75" s="57">
        <v>2.621</v>
      </c>
      <c r="AK75" s="57">
        <v>0.24529999999999999</v>
      </c>
      <c r="AL75" s="85">
        <v>0.1573</v>
      </c>
      <c r="AM75" s="57">
        <v>3.2010000000000001</v>
      </c>
      <c r="AN75" s="57">
        <v>0.2303</v>
      </c>
      <c r="AO75" s="85">
        <v>0.1507</v>
      </c>
      <c r="AP75" s="57">
        <v>3.31</v>
      </c>
      <c r="AQ75" s="57">
        <v>1.292</v>
      </c>
      <c r="AR75" s="85">
        <v>8.3599999999999994E-2</v>
      </c>
      <c r="AS75" s="57">
        <v>1.716</v>
      </c>
      <c r="AT75" s="57">
        <v>0.17499999999999999</v>
      </c>
      <c r="AU75" s="85">
        <v>0.1108</v>
      </c>
      <c r="AV75" s="57">
        <v>4.3810000000000002</v>
      </c>
      <c r="AW75" s="57">
        <v>0.15939999999999999</v>
      </c>
      <c r="AX75" s="85" t="s">
        <v>301</v>
      </c>
      <c r="BA75" s="85">
        <v>0.10249999999999999</v>
      </c>
      <c r="BE75" s="57">
        <v>0.96950000000000003</v>
      </c>
      <c r="BF75" s="85">
        <v>0.62029999999999996</v>
      </c>
    </row>
    <row r="76" spans="1:58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</row>
    <row r="77" spans="1:58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</row>
    <row r="78" spans="1:58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</row>
    <row r="79" spans="1:58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</row>
    <row r="80" spans="1:58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</row>
    <row r="81" spans="1:59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  <c r="H81" s="70">
        <v>44664</v>
      </c>
      <c r="AJ81" s="57">
        <v>1.716</v>
      </c>
      <c r="AK81" s="57">
        <v>0.15179999999999999</v>
      </c>
      <c r="AL81" s="85">
        <v>7.8799999999999995E-2</v>
      </c>
      <c r="AM81" s="57">
        <v>1.665</v>
      </c>
      <c r="AN81" s="57">
        <v>0.11840000000000001</v>
      </c>
      <c r="AO81" s="85">
        <v>6.0900000000000003E-2</v>
      </c>
      <c r="BE81" s="57">
        <v>0.79700000000000004</v>
      </c>
      <c r="BF81" s="85">
        <v>0.39750000000000002</v>
      </c>
    </row>
    <row r="82" spans="1:59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H82" s="70">
        <v>44664</v>
      </c>
      <c r="AJ82" s="57">
        <v>1.6870000000000001</v>
      </c>
      <c r="AK82" s="57">
        <v>0.27239999999999998</v>
      </c>
      <c r="AL82" s="85">
        <v>0.1724</v>
      </c>
      <c r="AM82" s="57">
        <v>1.3540000000000001</v>
      </c>
      <c r="AN82" s="57">
        <v>0.26350000000000001</v>
      </c>
      <c r="AO82" s="85">
        <v>0.161</v>
      </c>
      <c r="AP82" s="57">
        <v>1.6950000000000001</v>
      </c>
      <c r="AQ82" s="57">
        <v>0.3579</v>
      </c>
      <c r="AR82" s="85">
        <v>0.22520000000000001</v>
      </c>
      <c r="AS82" s="57">
        <v>1.7609999999999999</v>
      </c>
      <c r="AT82" s="57">
        <v>0.18590000000000001</v>
      </c>
      <c r="AU82" s="85">
        <v>0.11169999999999999</v>
      </c>
      <c r="BE82" s="57">
        <v>2.4479000000000002</v>
      </c>
      <c r="BF82" s="85">
        <v>1.5263</v>
      </c>
    </row>
    <row r="83" spans="1:59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</row>
    <row r="84" spans="1:59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</row>
    <row r="85" spans="1:59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</row>
    <row r="86" spans="1:59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</row>
    <row r="87" spans="1:59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</row>
    <row r="88" spans="1:59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</row>
    <row r="89" spans="1:59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</row>
    <row r="90" spans="1:59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</row>
    <row r="91" spans="1:59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H91" s="70">
        <v>44664</v>
      </c>
      <c r="AJ91" s="57">
        <v>1.381</v>
      </c>
      <c r="AK91" s="57">
        <v>6.7199999999999996E-2</v>
      </c>
      <c r="AL91" s="85">
        <v>3.5200000000000002E-2</v>
      </c>
      <c r="AM91" s="57">
        <v>1.4910000000000001</v>
      </c>
      <c r="AN91" s="57">
        <v>6.83E-2</v>
      </c>
      <c r="AO91" s="85">
        <v>3.5200000000000002E-2</v>
      </c>
      <c r="AP91" s="57">
        <v>1.341</v>
      </c>
      <c r="AQ91" s="57">
        <v>0.06</v>
      </c>
      <c r="AR91" s="85">
        <v>3.0499999999999999E-2</v>
      </c>
      <c r="BF91" s="85">
        <v>0.33839999999999998</v>
      </c>
      <c r="BG91" s="57">
        <v>0.65900000000000003</v>
      </c>
    </row>
    <row r="92" spans="1:59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H92" s="70">
        <v>44664</v>
      </c>
      <c r="AJ92" s="57">
        <v>1.41</v>
      </c>
      <c r="AK92" s="57">
        <v>0.1116</v>
      </c>
      <c r="AL92" s="85">
        <v>5.3900000000000003E-2</v>
      </c>
      <c r="AM92" s="57">
        <v>1.2869999999999999</v>
      </c>
      <c r="AN92" s="57">
        <v>0.1036</v>
      </c>
      <c r="AO92" s="85">
        <v>5.0599999999999999E-2</v>
      </c>
      <c r="AP92" s="57">
        <v>1.542</v>
      </c>
      <c r="AQ92" s="57">
        <v>0.12640000000000001</v>
      </c>
      <c r="AR92" s="85">
        <v>6.0900000000000003E-2</v>
      </c>
      <c r="BE92" s="57">
        <v>0.86229999999999996</v>
      </c>
      <c r="BF92" s="85">
        <v>0.41270000000000001</v>
      </c>
    </row>
    <row r="93" spans="1:59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</row>
    <row r="94" spans="1:59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</row>
    <row r="95" spans="1:59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59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58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58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58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58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58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58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58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58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58" x14ac:dyDescent="0.2">
      <c r="A105" s="12"/>
      <c r="B105" s="76" t="s">
        <v>60</v>
      </c>
      <c r="C105" s="12" t="s">
        <v>114</v>
      </c>
      <c r="D105" s="12" t="s">
        <v>58</v>
      </c>
      <c r="E105" s="12"/>
      <c r="H105" s="70">
        <v>44664</v>
      </c>
      <c r="AJ105" s="57">
        <v>3.12</v>
      </c>
      <c r="AK105" s="57">
        <v>0.47810000000000002</v>
      </c>
      <c r="AM105" s="57">
        <v>3.2679999999999998</v>
      </c>
      <c r="AN105" s="57">
        <v>0.43469999999999998</v>
      </c>
      <c r="AP105" s="57">
        <v>3.2709999999999999</v>
      </c>
      <c r="AQ105" s="57">
        <v>0.3135</v>
      </c>
      <c r="AS105" s="57">
        <v>3.0920000000000001</v>
      </c>
      <c r="AT105" s="57">
        <v>0.28949999999999998</v>
      </c>
      <c r="AV105" s="57">
        <v>3.161</v>
      </c>
      <c r="AW105" s="57">
        <v>0.54879999999999995</v>
      </c>
      <c r="AY105" s="57">
        <v>3.2810000000000001</v>
      </c>
      <c r="AZ105" s="57">
        <v>0.3362</v>
      </c>
    </row>
    <row r="106" spans="1:58" x14ac:dyDescent="0.2">
      <c r="A106" s="12"/>
      <c r="B106" s="76" t="s">
        <v>60</v>
      </c>
      <c r="C106" s="12" t="s">
        <v>114</v>
      </c>
      <c r="D106" s="12" t="s">
        <v>58</v>
      </c>
      <c r="E106" s="12"/>
      <c r="H106" s="70">
        <v>44664</v>
      </c>
      <c r="AJ106" s="57">
        <v>2.444</v>
      </c>
      <c r="AK106" s="57">
        <v>0.1283</v>
      </c>
      <c r="AM106" s="57">
        <v>2.7010000000000001</v>
      </c>
      <c r="AN106" s="57">
        <v>0.105</v>
      </c>
      <c r="AP106" s="57">
        <v>1.9119999999999999</v>
      </c>
      <c r="AQ106" s="57">
        <v>0.1787</v>
      </c>
      <c r="AS106" s="57">
        <v>2.161</v>
      </c>
      <c r="AT106" s="57">
        <v>0.14549999999999999</v>
      </c>
      <c r="AV106" s="57">
        <v>2.1880000000000002</v>
      </c>
      <c r="AW106" s="57">
        <v>0.10100000000000001</v>
      </c>
      <c r="AY106" s="57">
        <v>2.4119999999999999</v>
      </c>
      <c r="AZ106" s="57">
        <v>5.0500000000000003E-2</v>
      </c>
    </row>
    <row r="107" spans="1:58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H107" s="70">
        <v>44664</v>
      </c>
      <c r="AJ107" s="57">
        <v>1.5409999999999999</v>
      </c>
      <c r="AK107" s="85">
        <v>0.1056</v>
      </c>
      <c r="AL107" s="85">
        <v>0.10879999999999999</v>
      </c>
      <c r="AM107" s="57">
        <v>1.726</v>
      </c>
      <c r="AN107" s="85">
        <v>0.11459999999999999</v>
      </c>
      <c r="AO107" s="85">
        <v>0.1181</v>
      </c>
      <c r="AP107" s="57">
        <v>1.5149999999999999</v>
      </c>
      <c r="AQ107" s="85">
        <v>6.5699999999999995E-2</v>
      </c>
      <c r="AR107" s="85">
        <v>6.6100000000000006E-2</v>
      </c>
      <c r="BE107" s="85">
        <v>0.87709999999999999</v>
      </c>
      <c r="BF107" s="85">
        <v>1.1974</v>
      </c>
    </row>
    <row r="108" spans="1:58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58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58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H110" s="70">
        <v>44664</v>
      </c>
      <c r="AJ110" s="57">
        <v>2.3410000000000002</v>
      </c>
      <c r="AK110" s="57">
        <v>0.22789999999999999</v>
      </c>
      <c r="AL110" s="85">
        <v>0.129</v>
      </c>
      <c r="AM110" s="57">
        <v>1.472</v>
      </c>
      <c r="AN110" s="57">
        <v>8.2100000000000006E-2</v>
      </c>
      <c r="AO110" s="85">
        <v>4.7100000000000003E-2</v>
      </c>
      <c r="AP110" s="57">
        <v>2.129</v>
      </c>
      <c r="AQ110" s="57">
        <v>0.1125</v>
      </c>
      <c r="AR110" s="85">
        <v>6.4299999999999996E-2</v>
      </c>
      <c r="AS110" s="57">
        <v>1.5409999999999999</v>
      </c>
      <c r="AT110" s="57">
        <v>0.18440000000000001</v>
      </c>
      <c r="AU110" s="85">
        <v>0.1053</v>
      </c>
      <c r="AV110" s="57">
        <v>1.3380000000000001</v>
      </c>
      <c r="AW110" s="57">
        <v>0.22900000000000001</v>
      </c>
      <c r="AX110" s="85">
        <v>0.12889999999999999</v>
      </c>
      <c r="BE110" s="57">
        <v>1.5818000000000001</v>
      </c>
      <c r="BF110" s="85">
        <v>0.86180000000000001</v>
      </c>
    </row>
    <row r="111" spans="1:58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AJ111" s="57">
        <v>2.0409999999999999</v>
      </c>
      <c r="AK111" s="57">
        <v>0.1011</v>
      </c>
      <c r="AL111" s="85">
        <v>5.8299999999999998E-2</v>
      </c>
      <c r="AM111" s="57">
        <v>1.379</v>
      </c>
      <c r="AN111" s="57">
        <v>0.1822</v>
      </c>
      <c r="AO111" s="85">
        <v>0.1047</v>
      </c>
      <c r="AP111" s="57">
        <v>2.1869999999999998</v>
      </c>
      <c r="AQ111" s="57">
        <v>0.1032</v>
      </c>
      <c r="AR111" s="85">
        <v>6.3899999999999998E-2</v>
      </c>
      <c r="AU111" s="85">
        <v>0.06</v>
      </c>
      <c r="BE111" s="57">
        <v>1.5293000000000001</v>
      </c>
      <c r="BF111" s="85">
        <v>0.84930000000000005</v>
      </c>
    </row>
    <row r="112" spans="1:58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H112" s="70">
        <v>44664</v>
      </c>
      <c r="AJ112" s="57">
        <v>1.5309999999999999</v>
      </c>
      <c r="AK112" s="57">
        <v>0.1245</v>
      </c>
      <c r="AL112" s="85">
        <v>6.9199999999999998E-2</v>
      </c>
      <c r="AM112" s="57">
        <v>1.476</v>
      </c>
      <c r="AN112" s="57">
        <v>0.107</v>
      </c>
      <c r="AO112" s="85">
        <v>5.9400000000000001E-2</v>
      </c>
      <c r="AP112" s="57">
        <v>1.3720000000000001</v>
      </c>
      <c r="AQ112" s="57">
        <v>0.1139</v>
      </c>
      <c r="AR112" s="85">
        <v>6.3799999999999996E-2</v>
      </c>
      <c r="BE112" s="57">
        <v>0.96279999999999999</v>
      </c>
      <c r="BF112" s="85">
        <v>0.53459999999999996</v>
      </c>
    </row>
    <row r="113" spans="1:58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  <c r="H113" s="70">
        <v>44665</v>
      </c>
      <c r="AJ113" s="57">
        <v>2.2000000000000002</v>
      </c>
      <c r="AK113" s="57">
        <v>4.99E-2</v>
      </c>
      <c r="AL113" s="85">
        <v>2.8400000000000002E-2</v>
      </c>
      <c r="AM113" s="57">
        <v>2.2000000000000002</v>
      </c>
      <c r="AN113" s="57">
        <v>6.9099999999999995E-2</v>
      </c>
      <c r="AO113" s="85">
        <v>3.9199999999999999E-2</v>
      </c>
      <c r="AP113" s="57" t="s">
        <v>286</v>
      </c>
      <c r="AQ113" s="57">
        <v>6.7500000000000004E-2</v>
      </c>
      <c r="AR113" s="85">
        <v>3.61E-2</v>
      </c>
      <c r="BE113" s="57">
        <v>1.0136000000000001</v>
      </c>
      <c r="BF113" s="85">
        <v>0.5484</v>
      </c>
    </row>
    <row r="114" spans="1:58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  <c r="H114" s="70">
        <v>44664</v>
      </c>
      <c r="AJ114" s="57">
        <v>1.6659999999999999</v>
      </c>
      <c r="AK114" s="57">
        <v>0.20580000000000001</v>
      </c>
      <c r="AL114" s="85">
        <v>0.1089</v>
      </c>
      <c r="AM114" s="57">
        <v>1.5609999999999999</v>
      </c>
      <c r="AN114" s="57">
        <v>0.13569999999999999</v>
      </c>
      <c r="AO114" s="85">
        <v>7.1300000000000002E-2</v>
      </c>
      <c r="AP114" s="57">
        <v>1.623</v>
      </c>
      <c r="AQ114" s="57">
        <v>0.1623</v>
      </c>
      <c r="AR114" s="85">
        <v>8.5699999999999998E-2</v>
      </c>
      <c r="BE114" s="57">
        <v>3.0145</v>
      </c>
      <c r="BF114" s="85">
        <v>1.5488</v>
      </c>
    </row>
    <row r="115" spans="1:58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  <c r="H115" s="70">
        <v>44664</v>
      </c>
      <c r="AJ115" s="57">
        <v>1.94</v>
      </c>
      <c r="AK115" s="57">
        <v>0.1003</v>
      </c>
      <c r="AL115" s="85">
        <v>5.6800000000000003E-2</v>
      </c>
      <c r="AM115" s="57">
        <v>1.641</v>
      </c>
      <c r="AN115" s="57">
        <v>0.17829999999999999</v>
      </c>
      <c r="AO115" s="85">
        <v>0.1008</v>
      </c>
      <c r="AP115" s="57">
        <v>1.6</v>
      </c>
      <c r="AQ115" s="57">
        <v>0.18360000000000001</v>
      </c>
      <c r="AR115" s="85">
        <v>0.1028</v>
      </c>
      <c r="BE115" s="57">
        <v>3.1646000000000001</v>
      </c>
      <c r="BF115" s="85">
        <v>1.7009000000000001</v>
      </c>
    </row>
    <row r="116" spans="1:58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  <c r="H116" s="70">
        <v>44665</v>
      </c>
      <c r="AJ116" s="57">
        <v>1.8</v>
      </c>
      <c r="AK116" s="79">
        <v>824</v>
      </c>
      <c r="AL116" s="85">
        <v>4.7399999999999998E-2</v>
      </c>
      <c r="AM116" s="57">
        <v>1.72</v>
      </c>
      <c r="AN116" s="57">
        <v>8.3099999999999993E-2</v>
      </c>
      <c r="AO116" s="85">
        <v>4.7600000000000003E-2</v>
      </c>
      <c r="AP116" s="57">
        <v>1.6</v>
      </c>
      <c r="AQ116" s="57">
        <v>5.5899999999999998E-2</v>
      </c>
      <c r="AR116" s="85">
        <v>3.1899999999999998E-2</v>
      </c>
      <c r="BE116" s="57">
        <v>2.3146</v>
      </c>
      <c r="BF116" s="85">
        <v>1.1759999999999999</v>
      </c>
    </row>
    <row r="117" spans="1:58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E117" s="57" t="s">
        <v>138</v>
      </c>
      <c r="AL117" s="57">
        <v>5.7200000000000001E-2</v>
      </c>
      <c r="AO117" s="57">
        <v>4.9599999999999998E-2</v>
      </c>
      <c r="AR117" s="57">
        <v>7.0800000000000002E-2</v>
      </c>
      <c r="AU117" s="57">
        <v>6.0900000000000003E-2</v>
      </c>
      <c r="AX117" s="57">
        <v>4.1099999999999998E-2</v>
      </c>
      <c r="BA117" s="57">
        <v>2.18E-2</v>
      </c>
    </row>
    <row r="118" spans="1:58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E118" s="57" t="s">
        <v>140</v>
      </c>
    </row>
    <row r="119" spans="1:58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E119" s="57" t="s">
        <v>141</v>
      </c>
      <c r="H119" s="70">
        <v>44664</v>
      </c>
      <c r="AJ119" s="57">
        <v>2.0129999999999999</v>
      </c>
      <c r="AK119" s="57">
        <v>0.1077</v>
      </c>
      <c r="AL119" s="57">
        <v>5.16E-2</v>
      </c>
      <c r="AM119" s="57">
        <v>1.8009999999999999</v>
      </c>
      <c r="AN119" s="57">
        <v>0.12559999999999999</v>
      </c>
      <c r="AO119" s="57">
        <v>0.06</v>
      </c>
      <c r="AP119" s="57">
        <v>2.415</v>
      </c>
      <c r="AQ119" s="57">
        <v>6.7199999999999996E-2</v>
      </c>
      <c r="AR119" s="57">
        <v>3.2300000000000002E-2</v>
      </c>
      <c r="AS119" s="57">
        <v>2.2210000000000001</v>
      </c>
      <c r="AT119" s="57">
        <v>0.1134</v>
      </c>
      <c r="AU119" s="57">
        <v>5.1499999999999997E-2</v>
      </c>
      <c r="AV119" s="57">
        <v>1.921</v>
      </c>
      <c r="AW119" s="57">
        <v>0.18210000000000001</v>
      </c>
      <c r="AX119" s="57">
        <v>8.0699999999999994E-2</v>
      </c>
      <c r="AY119" s="57">
        <v>1.821</v>
      </c>
      <c r="AZ119" s="57">
        <v>8.0799999999999997E-2</v>
      </c>
      <c r="BA119" s="57">
        <v>4.1599999999999998E-2</v>
      </c>
    </row>
    <row r="120" spans="1:58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E120" s="57" t="s">
        <v>143</v>
      </c>
      <c r="AJ120" s="57">
        <v>3.3479999999999999</v>
      </c>
      <c r="AK120" s="57">
        <v>0.46089999999999998</v>
      </c>
      <c r="AL120" s="57">
        <v>0.18859999999999999</v>
      </c>
      <c r="AM120" s="57">
        <v>3.4430000000000001</v>
      </c>
      <c r="AN120" s="57">
        <v>0.44940000000000002</v>
      </c>
      <c r="AO120" s="57">
        <v>0.18690000000000001</v>
      </c>
      <c r="AP120" s="57">
        <v>3.46</v>
      </c>
      <c r="AQ120" s="57">
        <v>0.44090000000000001</v>
      </c>
      <c r="AR120" s="57">
        <v>0.13250000000000001</v>
      </c>
      <c r="AS120" s="57">
        <v>3.476</v>
      </c>
      <c r="AT120" s="57">
        <v>0.4148</v>
      </c>
      <c r="AU120" s="57">
        <v>0.12280000000000001</v>
      </c>
      <c r="AV120" s="57">
        <v>3.476</v>
      </c>
      <c r="AW120" s="57">
        <v>0.4148</v>
      </c>
      <c r="AX120" s="57">
        <v>0.21540000000000001</v>
      </c>
      <c r="AY120" s="57" t="s">
        <v>302</v>
      </c>
      <c r="AZ120" s="57">
        <v>0.47199999999999998</v>
      </c>
      <c r="BA120" s="57">
        <v>0.14610000000000001</v>
      </c>
      <c r="BB120" s="57">
        <v>3.4910000000000001</v>
      </c>
    </row>
    <row r="121" spans="1:58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E121" s="57" t="s">
        <v>144</v>
      </c>
      <c r="H121" s="70">
        <v>44664</v>
      </c>
      <c r="AL121" s="57">
        <v>0.22120000000000001</v>
      </c>
      <c r="AO121" s="57">
        <v>0.19869999999999999</v>
      </c>
      <c r="AR121" s="57">
        <v>0.21029999999999999</v>
      </c>
      <c r="AU121" s="57">
        <v>0.1925</v>
      </c>
      <c r="AX121" s="57">
        <v>0.23169999999999999</v>
      </c>
      <c r="BA121" s="57">
        <v>0.12189999999999999</v>
      </c>
    </row>
    <row r="122" spans="1:58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E122" s="57" t="s">
        <v>145</v>
      </c>
      <c r="H122" s="70">
        <v>44664</v>
      </c>
      <c r="AJ122" s="57">
        <v>2.7210000000000001</v>
      </c>
      <c r="AK122" s="57">
        <v>0.45540000000000003</v>
      </c>
      <c r="AL122" s="57">
        <v>0.19289999999999999</v>
      </c>
      <c r="AM122" s="57">
        <v>3.1480000000000001</v>
      </c>
      <c r="AN122" s="57">
        <v>0.56020000000000003</v>
      </c>
      <c r="AO122" s="57">
        <v>0.26069999999999999</v>
      </c>
      <c r="AP122" s="57">
        <v>2.9009999999999998</v>
      </c>
      <c r="AQ122" s="57">
        <v>0.54310000000000003</v>
      </c>
      <c r="AR122" s="57">
        <v>0.2329</v>
      </c>
      <c r="AS122" s="57">
        <v>3.05</v>
      </c>
      <c r="AT122" s="57">
        <v>0.37909999999999999</v>
      </c>
      <c r="AU122" s="57">
        <v>0.15260000000000001</v>
      </c>
      <c r="AV122" s="57">
        <v>3.0169999999999999</v>
      </c>
      <c r="AW122" s="57">
        <v>0.50890000000000002</v>
      </c>
      <c r="AX122" s="57">
        <v>0.22989999999999999</v>
      </c>
      <c r="AY122" s="57">
        <v>3.069</v>
      </c>
      <c r="AZ122" s="57">
        <v>0.63300000000000001</v>
      </c>
      <c r="BA122" s="57">
        <v>0.30249999999999999</v>
      </c>
      <c r="BF122" s="85"/>
    </row>
    <row r="123" spans="1:58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  <c r="BE123" s="57">
        <v>1.4139999999999999</v>
      </c>
      <c r="BF123" s="57">
        <v>0.83399999999999996</v>
      </c>
    </row>
    <row r="124" spans="1:58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</row>
    <row r="125" spans="1:58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</row>
    <row r="126" spans="1:58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</row>
    <row r="127" spans="1:58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</row>
    <row r="128" spans="1:58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  <c r="AG128" s="57">
        <v>1.9610000000000001</v>
      </c>
      <c r="AH128" s="57">
        <v>0.91300000000000003</v>
      </c>
    </row>
    <row r="129" spans="1:58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</row>
    <row r="130" spans="1:58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</row>
    <row r="131" spans="1:58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</row>
    <row r="132" spans="1:58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  <c r="H132" s="70">
        <v>44665</v>
      </c>
      <c r="AJ132" s="57">
        <v>2.2999999999999998</v>
      </c>
      <c r="AK132" s="57">
        <v>0.11310000000000001</v>
      </c>
      <c r="AL132" s="85">
        <v>6.3899999999999998E-2</v>
      </c>
      <c r="AM132" s="57">
        <v>2.2000000000000002</v>
      </c>
      <c r="AN132" s="57">
        <v>9.1899999999999996E-2</v>
      </c>
      <c r="AO132" s="85">
        <v>5.1499999999999997E-2</v>
      </c>
      <c r="AP132" s="57">
        <v>2</v>
      </c>
      <c r="AQ132" s="57">
        <v>0.1094</v>
      </c>
      <c r="AR132" s="85">
        <v>5.96E-2</v>
      </c>
      <c r="BE132" s="57">
        <v>2.8462000000000001</v>
      </c>
      <c r="BF132" s="85">
        <v>1.5465</v>
      </c>
    </row>
    <row r="133" spans="1:58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  <c r="AH133" s="70">
        <v>44665</v>
      </c>
      <c r="AJ133" s="57">
        <v>2.4</v>
      </c>
      <c r="AK133" s="57">
        <v>0.1249</v>
      </c>
      <c r="AL133" s="85">
        <v>7.0199999999999999E-2</v>
      </c>
      <c r="AM133" s="57">
        <v>1.7</v>
      </c>
      <c r="AN133" s="57">
        <v>0.1135</v>
      </c>
      <c r="AO133" s="85">
        <v>6.1199999999999997E-2</v>
      </c>
      <c r="AP133" s="57">
        <v>1.83</v>
      </c>
      <c r="AQ133" s="57">
        <v>6.2E-2</v>
      </c>
      <c r="AR133" s="85">
        <v>3.4700000000000002E-2</v>
      </c>
      <c r="BE133" s="57">
        <v>2.3374999999999999</v>
      </c>
      <c r="BF133" s="85">
        <v>1.2673000000000001</v>
      </c>
    </row>
    <row r="134" spans="1:58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</row>
    <row r="135" spans="1:58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</row>
    <row r="136" spans="1:58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  <c r="AH136" s="70">
        <v>44665</v>
      </c>
      <c r="AJ136" s="57">
        <v>1.85</v>
      </c>
      <c r="AK136" s="57">
        <v>0.25259999999999999</v>
      </c>
      <c r="AL136" s="85">
        <v>0.13739999999999999</v>
      </c>
      <c r="AM136" s="57">
        <v>2.56</v>
      </c>
      <c r="AN136" s="57">
        <v>0.17680000000000001</v>
      </c>
      <c r="AO136" s="85">
        <v>9.6699999999999994E-2</v>
      </c>
      <c r="AP136" s="57">
        <v>2.6</v>
      </c>
      <c r="AQ136" s="57">
        <v>0.14649999999999999</v>
      </c>
      <c r="AR136" s="85">
        <v>7.8899999999999998E-2</v>
      </c>
      <c r="BE136" s="57">
        <v>2.3201000000000001</v>
      </c>
      <c r="BF136" s="85">
        <v>1.2290000000000001</v>
      </c>
    </row>
    <row r="137" spans="1:58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  <c r="H137" s="70">
        <v>44664</v>
      </c>
      <c r="AJ137" s="57">
        <v>1.4710000000000001</v>
      </c>
      <c r="AK137" s="57">
        <v>0.13639999999999999</v>
      </c>
      <c r="AL137" s="85">
        <v>7.46E-2</v>
      </c>
      <c r="AM137" s="57">
        <v>2.2309999999999999</v>
      </c>
      <c r="AN137" s="57">
        <v>0.104</v>
      </c>
      <c r="AO137" s="85">
        <v>5.7500000000000002E-2</v>
      </c>
      <c r="AP137" s="57">
        <v>1.4470000000000001</v>
      </c>
      <c r="AQ137" s="57">
        <v>8.1900000000000001E-2</v>
      </c>
      <c r="AR137" s="85">
        <v>3.8600000000000002E-2</v>
      </c>
      <c r="AS137" s="57">
        <v>1.5529999999999999</v>
      </c>
      <c r="AT137" s="57">
        <v>0.1229</v>
      </c>
      <c r="AU137" s="85">
        <v>6.8099999999999994E-2</v>
      </c>
      <c r="BE137" s="57">
        <v>1.5244</v>
      </c>
      <c r="BF137" s="85">
        <v>0.82089999999999996</v>
      </c>
    </row>
    <row r="138" spans="1:58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  <c r="H138" s="70">
        <v>44664</v>
      </c>
      <c r="AJ138" s="57">
        <v>1.7310000000000001</v>
      </c>
      <c r="AK138" s="57">
        <v>0.109</v>
      </c>
      <c r="AL138" s="85">
        <v>6.1199999999999997E-2</v>
      </c>
      <c r="AM138" s="57">
        <v>1.702</v>
      </c>
      <c r="AN138" s="57">
        <v>6.7400000000000002E-2</v>
      </c>
      <c r="AO138" s="85">
        <v>3.85E-2</v>
      </c>
      <c r="AP138" s="57">
        <v>1.6579999999999999</v>
      </c>
      <c r="AQ138" s="57">
        <v>0.1205</v>
      </c>
      <c r="AR138" s="85">
        <v>6.7900000000000002E-2</v>
      </c>
      <c r="BE138" s="57">
        <v>0.63770000000000004</v>
      </c>
      <c r="BF138" s="85">
        <v>0.35239999999999999</v>
      </c>
    </row>
    <row r="139" spans="1:58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  <c r="H139" s="70">
        <v>44664</v>
      </c>
      <c r="AJ139" s="57">
        <v>2.2869999999999999</v>
      </c>
      <c r="AK139" s="57">
        <v>0.15140000000000001</v>
      </c>
      <c r="AL139" s="85">
        <v>8.5800000000000001E-2</v>
      </c>
      <c r="AM139" s="57">
        <v>2.371</v>
      </c>
      <c r="AN139" s="57">
        <v>0.17660000000000001</v>
      </c>
      <c r="AO139" s="85">
        <v>9.9400000000000002E-2</v>
      </c>
      <c r="AP139" s="57">
        <v>2.19</v>
      </c>
      <c r="AQ139" s="57">
        <v>0.17230000000000001</v>
      </c>
      <c r="AR139" s="85">
        <v>9.3100000000000002E-2</v>
      </c>
      <c r="AS139" s="57">
        <v>2.3140000000000001</v>
      </c>
      <c r="AT139" s="57">
        <v>0.20319999999999999</v>
      </c>
      <c r="AU139" s="85">
        <v>0.1114</v>
      </c>
      <c r="BE139" s="57">
        <v>3.1615000000000002</v>
      </c>
      <c r="BF139" s="85">
        <v>1.7090000000000001</v>
      </c>
    </row>
    <row r="140" spans="1:58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  <c r="H140" s="70">
        <v>44664</v>
      </c>
      <c r="AJ140" s="57">
        <v>1.4690000000000001</v>
      </c>
      <c r="AK140" s="57">
        <v>0.11899999999999999</v>
      </c>
      <c r="AL140" s="85">
        <v>6.9000000000000006E-2</v>
      </c>
      <c r="AM140" s="57">
        <v>1.762</v>
      </c>
      <c r="AN140" s="57">
        <v>0.15609999999999999</v>
      </c>
      <c r="AO140" s="85">
        <v>8.8900000000000007E-2</v>
      </c>
      <c r="AP140" s="57">
        <v>1.7609999999999999</v>
      </c>
      <c r="AQ140" s="57">
        <v>9.9900000000000003E-2</v>
      </c>
      <c r="AR140" s="85">
        <v>5.5E-2</v>
      </c>
      <c r="BE140" s="57">
        <v>1.341</v>
      </c>
      <c r="BF140" s="85">
        <v>0.63290000000000002</v>
      </c>
    </row>
    <row r="141" spans="1:58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</row>
    <row r="142" spans="1:58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  <c r="H142" s="70">
        <v>44664</v>
      </c>
    </row>
    <row r="143" spans="1:58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  <c r="AJ143" s="57">
        <v>1.7310000000000001</v>
      </c>
      <c r="AK143" s="57">
        <v>0.1326</v>
      </c>
      <c r="AL143" s="85">
        <v>7.3300000000000004E-2</v>
      </c>
      <c r="AM143" s="57">
        <v>2.2010000000000001</v>
      </c>
      <c r="AN143" s="57">
        <v>0.1963</v>
      </c>
      <c r="AO143" s="85">
        <v>0.10879999999999999</v>
      </c>
      <c r="AP143" s="57">
        <v>2.081</v>
      </c>
      <c r="AQ143" s="57">
        <v>0.15409999999999999</v>
      </c>
      <c r="AR143" s="85">
        <v>8.6499999999999994E-2</v>
      </c>
      <c r="BE143" s="57">
        <v>2.2223999999999999</v>
      </c>
      <c r="BF143" s="85">
        <v>1.1291</v>
      </c>
    </row>
    <row r="144" spans="1:58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  <c r="H144" s="70">
        <v>44664</v>
      </c>
      <c r="AJ144" s="57">
        <v>1.381</v>
      </c>
      <c r="AK144" s="57">
        <v>7.8600000000000003E-2</v>
      </c>
      <c r="AL144" s="85">
        <v>4.0500000000000001E-2</v>
      </c>
      <c r="AM144" s="57">
        <v>1.4610000000000001</v>
      </c>
      <c r="AN144" s="57">
        <v>7.5899999999999995E-2</v>
      </c>
      <c r="AO144" s="85">
        <v>3.9399999999999998E-2</v>
      </c>
      <c r="AP144" s="57">
        <v>1.482</v>
      </c>
      <c r="AQ144" s="57">
        <v>7.9899999999999999E-2</v>
      </c>
      <c r="AR144" s="85">
        <v>4.1500000000000002E-2</v>
      </c>
      <c r="BE144" s="57">
        <v>2.0548000000000002</v>
      </c>
      <c r="BF144" s="85">
        <v>1.0149999999999999</v>
      </c>
    </row>
    <row r="145" spans="1:60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  <c r="H145" s="70">
        <v>44664</v>
      </c>
      <c r="AJ145" s="57">
        <v>1.3340000000000001</v>
      </c>
      <c r="AK145" s="57">
        <v>0.17810000000000001</v>
      </c>
      <c r="AL145" s="85">
        <v>8.3900000000000002E-2</v>
      </c>
      <c r="AM145" s="57">
        <v>0.84799999999999998</v>
      </c>
      <c r="AN145" s="57">
        <v>0.11600000000000001</v>
      </c>
      <c r="AO145" s="85">
        <v>5.45E-2</v>
      </c>
      <c r="AP145" s="57">
        <v>1.2310000000000001</v>
      </c>
      <c r="AQ145" s="57">
        <v>8.4699999999999998E-2</v>
      </c>
      <c r="AR145" s="85">
        <v>4.0300000000000002E-2</v>
      </c>
      <c r="AS145" s="57">
        <v>1.2210000000000001</v>
      </c>
      <c r="AT145" s="57">
        <v>7.0900000000000005E-2</v>
      </c>
      <c r="AU145" s="85">
        <v>3.2599999999999997E-2</v>
      </c>
      <c r="BE145" s="57">
        <v>2.0085000000000002</v>
      </c>
      <c r="BF145" s="85">
        <v>0.91169999999999995</v>
      </c>
    </row>
    <row r="146" spans="1:60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</row>
    <row r="147" spans="1:60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  <c r="H147" s="70">
        <v>44664</v>
      </c>
      <c r="AJ147" s="57">
        <v>1.82</v>
      </c>
      <c r="AK147" s="57">
        <v>0.1183</v>
      </c>
      <c r="AL147" s="85">
        <v>6.3100000000000003E-2</v>
      </c>
      <c r="AM147" s="57">
        <v>1.4</v>
      </c>
      <c r="AN147" s="57">
        <v>6.7100000000000007E-2</v>
      </c>
      <c r="AO147" s="85">
        <v>3.5799999999999998E-2</v>
      </c>
      <c r="AP147" s="57">
        <v>2.04</v>
      </c>
      <c r="AQ147" s="57">
        <v>0.1389</v>
      </c>
      <c r="AR147" s="85">
        <v>7.5899999999999995E-2</v>
      </c>
      <c r="AS147" s="57">
        <v>1.92</v>
      </c>
      <c r="AT147" s="57">
        <v>8.6099999999999996E-2</v>
      </c>
      <c r="AU147" s="85">
        <v>4.8099999999999997E-2</v>
      </c>
      <c r="BE147" s="57">
        <v>1.7995000000000001</v>
      </c>
      <c r="BF147" s="85">
        <v>0.92730000000000001</v>
      </c>
    </row>
    <row r="148" spans="1:60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  <c r="H148" s="70">
        <v>44664</v>
      </c>
      <c r="AJ148" s="57">
        <v>1.8</v>
      </c>
      <c r="AK148" s="57">
        <v>8.5300000000000001E-2</v>
      </c>
      <c r="AL148" s="85">
        <v>4.2000000000000003E-2</v>
      </c>
      <c r="AM148" s="57">
        <v>1.9510000000000001</v>
      </c>
      <c r="AN148" s="57">
        <v>0.1371</v>
      </c>
      <c r="AO148" s="85">
        <v>6.9900000000000004E-2</v>
      </c>
      <c r="AP148" s="57">
        <v>1.2949999999999999</v>
      </c>
      <c r="AQ148" s="57">
        <v>0.11509999999999999</v>
      </c>
      <c r="AR148" s="85">
        <v>5.7200000000000001E-2</v>
      </c>
      <c r="AS148" s="57">
        <v>1.5840000000000001</v>
      </c>
      <c r="AT148" s="57">
        <v>0.1077</v>
      </c>
      <c r="AU148" s="85">
        <v>5.5399999999999998E-2</v>
      </c>
      <c r="AV148" s="57">
        <v>1.8220000000000001</v>
      </c>
      <c r="AW148" s="57">
        <v>0.1545</v>
      </c>
      <c r="AX148" s="85">
        <v>7.8600000000000003E-2</v>
      </c>
      <c r="BE148" s="57">
        <v>2.6017999999999999</v>
      </c>
      <c r="BF148" s="85">
        <v>1.2356</v>
      </c>
    </row>
    <row r="149" spans="1:60" x14ac:dyDescent="0.2">
      <c r="A149" s="57" t="s">
        <v>114</v>
      </c>
      <c r="B149" s="76" t="s">
        <v>133</v>
      </c>
      <c r="D149" s="54" t="s">
        <v>64</v>
      </c>
      <c r="E149" s="57">
        <v>2011</v>
      </c>
      <c r="AJ149" s="57">
        <v>1.6719999999999999</v>
      </c>
      <c r="AK149" s="57">
        <v>0.18709999999999999</v>
      </c>
      <c r="AL149" s="85">
        <v>0.1032</v>
      </c>
      <c r="AM149" s="57">
        <v>1.7210000000000001</v>
      </c>
      <c r="AN149" s="57">
        <v>0.18090000000000001</v>
      </c>
      <c r="AO149" s="85">
        <v>0.1013</v>
      </c>
      <c r="AP149" s="57">
        <v>1.9510000000000001</v>
      </c>
      <c r="AQ149" s="57">
        <v>0.12039999999999999</v>
      </c>
      <c r="AR149" s="85">
        <v>6.8000000000000005E-2</v>
      </c>
      <c r="BE149" s="57">
        <v>0.88770000000000004</v>
      </c>
      <c r="BF149" s="85">
        <v>0.4914</v>
      </c>
    </row>
    <row r="150" spans="1:60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  <c r="H150" s="70">
        <v>44664</v>
      </c>
      <c r="AJ150" s="57">
        <v>2.681</v>
      </c>
      <c r="AK150" s="57">
        <v>0.2</v>
      </c>
      <c r="AL150" s="85">
        <v>0.1129</v>
      </c>
      <c r="AM150" s="57">
        <v>2.5510000000000002</v>
      </c>
      <c r="AN150" s="57">
        <v>0.18759999999999999</v>
      </c>
      <c r="AO150" s="85">
        <v>0.1074</v>
      </c>
      <c r="BE150" s="57">
        <v>1.5848</v>
      </c>
      <c r="BF150" s="85">
        <v>0.88160000000000005</v>
      </c>
    </row>
    <row r="151" spans="1:60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  <c r="H151" s="70">
        <v>44664</v>
      </c>
      <c r="AJ151" s="57">
        <v>1.8879999999999999</v>
      </c>
      <c r="AK151" s="57">
        <v>0.2369</v>
      </c>
      <c r="AL151" s="85">
        <v>0.1283</v>
      </c>
      <c r="AM151" s="57">
        <v>2.0910000000000002</v>
      </c>
      <c r="AN151" s="57">
        <v>0.2671</v>
      </c>
      <c r="AO151" s="85">
        <v>0.1406</v>
      </c>
      <c r="AP151" s="57">
        <v>2.2850000000000001</v>
      </c>
      <c r="AQ151" s="57">
        <v>0.21149999999999999</v>
      </c>
      <c r="AR151" s="85">
        <v>0.1134</v>
      </c>
      <c r="BE151" s="57">
        <v>0.99980000000000002</v>
      </c>
      <c r="BF151" s="85">
        <v>0.52659999999999996</v>
      </c>
      <c r="BH151" s="85"/>
    </row>
    <row r="152" spans="1:60" x14ac:dyDescent="0.2">
      <c r="A152" s="57" t="s">
        <v>134</v>
      </c>
      <c r="B152" s="76" t="s">
        <v>135</v>
      </c>
      <c r="D152" s="54" t="s">
        <v>64</v>
      </c>
      <c r="E152" s="57">
        <v>2008</v>
      </c>
    </row>
    <row r="153" spans="1:60" x14ac:dyDescent="0.2">
      <c r="D153" s="54"/>
    </row>
    <row r="154" spans="1:60" x14ac:dyDescent="0.2">
      <c r="D154" s="3"/>
    </row>
    <row r="155" spans="1:60" x14ac:dyDescent="0.2">
      <c r="D155" s="3"/>
    </row>
    <row r="156" spans="1:60" x14ac:dyDescent="0.2">
      <c r="D156" s="3"/>
    </row>
    <row r="157" spans="1:60" x14ac:dyDescent="0.2">
      <c r="D157" s="3"/>
    </row>
    <row r="158" spans="1:60" x14ac:dyDescent="0.2">
      <c r="D158" s="3"/>
    </row>
    <row r="159" spans="1:60" x14ac:dyDescent="0.2">
      <c r="D159" s="3"/>
    </row>
    <row r="160" spans="1:60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BH314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0" x14ac:dyDescent="0.2">
      <c r="C1" s="74" t="s">
        <v>207</v>
      </c>
      <c r="D1" s="1"/>
      <c r="E1" s="1"/>
    </row>
    <row r="3" spans="1:60" x14ac:dyDescent="0.2">
      <c r="C3" s="12" t="s">
        <v>1</v>
      </c>
      <c r="D3" s="38" t="s">
        <v>208</v>
      </c>
      <c r="E3" s="12"/>
    </row>
    <row r="4" spans="1:60" x14ac:dyDescent="0.2">
      <c r="C4" s="12" t="s">
        <v>3</v>
      </c>
      <c r="D4" s="77">
        <v>44676</v>
      </c>
    </row>
    <row r="6" spans="1:60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</row>
    <row r="7" spans="1:60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I7" s="57">
        <v>1.718</v>
      </c>
      <c r="L7" s="57">
        <v>1.591</v>
      </c>
      <c r="O7" s="57">
        <v>1.361</v>
      </c>
      <c r="R7" s="57">
        <v>1.919</v>
      </c>
      <c r="AG7" s="57">
        <v>2.02</v>
      </c>
      <c r="AH7" s="57">
        <v>1.2922</v>
      </c>
      <c r="AJ7" s="57">
        <v>2.774</v>
      </c>
      <c r="AM7" s="57">
        <v>2.8</v>
      </c>
      <c r="AP7" s="57">
        <v>2.6280000000000001</v>
      </c>
      <c r="BE7" s="57">
        <v>1.98</v>
      </c>
      <c r="BF7" s="57">
        <v>1.2816000000000001</v>
      </c>
    </row>
    <row r="8" spans="1:60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</row>
    <row r="9" spans="1:60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I9" s="57">
        <v>1.7230000000000001</v>
      </c>
      <c r="L9" s="57">
        <v>1.371</v>
      </c>
      <c r="O9" s="57">
        <v>1.6679999999999999</v>
      </c>
      <c r="R9" s="57">
        <v>1.238</v>
      </c>
      <c r="U9" s="57">
        <v>1.298</v>
      </c>
      <c r="AG9" s="57">
        <v>1.86</v>
      </c>
      <c r="AH9" s="57">
        <v>1.127</v>
      </c>
    </row>
    <row r="10" spans="1:60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</row>
    <row r="11" spans="1:60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0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</row>
    <row r="13" spans="1:60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</row>
    <row r="14" spans="1:60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0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</row>
    <row r="16" spans="1:60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</row>
    <row r="17" spans="1:59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59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I18" s="57">
        <v>1.4119999999999999</v>
      </c>
      <c r="L18" s="57">
        <v>1.54</v>
      </c>
      <c r="O18" s="57">
        <v>1.6</v>
      </c>
      <c r="R18" s="57">
        <v>1.3879999999999999</v>
      </c>
      <c r="AG18" s="57">
        <v>1.95</v>
      </c>
      <c r="AH18" s="57">
        <v>1.0463</v>
      </c>
      <c r="AJ18" s="57">
        <v>2.88</v>
      </c>
      <c r="AM18" s="57">
        <v>2.5310000000000001</v>
      </c>
      <c r="AP18" s="57">
        <v>2.8639999999999999</v>
      </c>
      <c r="BE18" s="57">
        <v>0.85</v>
      </c>
      <c r="BF18" s="57">
        <v>0.48089999999999999</v>
      </c>
    </row>
    <row r="19" spans="1:59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</row>
    <row r="20" spans="1:59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59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</row>
    <row r="22" spans="1:59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</row>
    <row r="23" spans="1:59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</row>
    <row r="24" spans="1:59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G24" s="57">
        <v>10</v>
      </c>
      <c r="I24" s="57">
        <v>1.3819999999999999</v>
      </c>
      <c r="L24" s="57">
        <v>1.41</v>
      </c>
      <c r="O24" s="57">
        <v>1.4139999999999999</v>
      </c>
      <c r="AG24" s="57">
        <v>0.96299999999999997</v>
      </c>
      <c r="AH24" s="57">
        <v>0.49320000000000003</v>
      </c>
      <c r="AJ24" s="57">
        <v>3</v>
      </c>
      <c r="AM24" s="57">
        <v>3.25</v>
      </c>
      <c r="AP24" s="57">
        <v>3.3</v>
      </c>
      <c r="BE24" s="57">
        <v>0.92</v>
      </c>
      <c r="BF24" s="57">
        <v>0.4975</v>
      </c>
      <c r="BG24" s="33">
        <f>AVERAGE(AP24,AM24,AJ24)</f>
        <v>3.1833333333333336</v>
      </c>
    </row>
    <row r="25" spans="1:59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</row>
    <row r="26" spans="1:59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59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G27" s="57">
        <v>10</v>
      </c>
      <c r="I27" s="57">
        <v>1.508</v>
      </c>
      <c r="L27" s="57">
        <v>1.5840000000000001</v>
      </c>
      <c r="AG27" s="57">
        <v>2.46</v>
      </c>
      <c r="AH27" s="57">
        <v>1.2522</v>
      </c>
      <c r="AJ27" s="57">
        <v>2.6619999999999999</v>
      </c>
      <c r="AM27" s="57">
        <v>2.3839999999999999</v>
      </c>
      <c r="AP27" s="57">
        <v>3.0920000000000001</v>
      </c>
      <c r="BE27" s="57">
        <v>0.78700000000000003</v>
      </c>
      <c r="BF27" s="57">
        <v>0.42470000000000002</v>
      </c>
    </row>
    <row r="28" spans="1:59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59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59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G30" s="57">
        <v>10</v>
      </c>
      <c r="I30" s="57">
        <v>1.512</v>
      </c>
      <c r="L30" s="57">
        <v>1.421</v>
      </c>
      <c r="O30" s="57">
        <v>1.583</v>
      </c>
      <c r="AG30" s="57">
        <v>1.39</v>
      </c>
      <c r="AH30" s="57">
        <v>0.74070000000000003</v>
      </c>
      <c r="AJ30" s="57">
        <v>3.3</v>
      </c>
      <c r="AM30" s="57">
        <v>3.35</v>
      </c>
      <c r="AP30" s="57">
        <v>3.5</v>
      </c>
      <c r="BE30" s="57">
        <v>1.88</v>
      </c>
      <c r="BF30" s="57">
        <v>1.0331999999999999</v>
      </c>
    </row>
    <row r="31" spans="1:59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I31" s="57">
        <v>0.86399999999999999</v>
      </c>
      <c r="L31" s="57">
        <v>1.052</v>
      </c>
      <c r="O31" s="57">
        <v>0.99199999999999999</v>
      </c>
      <c r="AG31" s="57">
        <v>5.51</v>
      </c>
      <c r="AH31" s="57">
        <v>3.3163</v>
      </c>
      <c r="AJ31" s="57">
        <v>2.5710000000000002</v>
      </c>
      <c r="AM31" s="57">
        <v>2.4700000000000002</v>
      </c>
      <c r="AP31" s="57">
        <v>2.4039999999999999</v>
      </c>
      <c r="AS31" s="57">
        <v>2.508</v>
      </c>
      <c r="BE31" s="57">
        <v>1.61</v>
      </c>
      <c r="BF31" s="57">
        <v>0.9889</v>
      </c>
    </row>
    <row r="32" spans="1:59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I32" s="57">
        <v>1.139</v>
      </c>
      <c r="L32" s="57">
        <v>1.2210000000000001</v>
      </c>
      <c r="O32" s="57">
        <v>1.5609999999999999</v>
      </c>
      <c r="AG32" s="57">
        <v>2.4700000000000002</v>
      </c>
      <c r="AH32" s="57">
        <v>1.5067999999999999</v>
      </c>
      <c r="AJ32" s="57">
        <v>3.169</v>
      </c>
      <c r="AM32" s="57">
        <v>2.9609999999999999</v>
      </c>
      <c r="AP32" s="57">
        <v>2.7690000000000001</v>
      </c>
      <c r="BE32" s="57">
        <v>1.96</v>
      </c>
      <c r="BF32" s="57">
        <v>1.2068000000000001</v>
      </c>
    </row>
    <row r="33" spans="1:60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I33" s="57">
        <v>1.528</v>
      </c>
      <c r="L33" s="57">
        <v>1.4910000000000001</v>
      </c>
      <c r="AG33" s="57">
        <v>1.64</v>
      </c>
      <c r="AH33" s="57">
        <v>0.85860000000000003</v>
      </c>
      <c r="AJ33" s="57">
        <v>2.84</v>
      </c>
      <c r="AM33" s="57">
        <v>3.09</v>
      </c>
      <c r="AP33" s="57">
        <v>3.01</v>
      </c>
      <c r="AS33" s="57">
        <v>3.45</v>
      </c>
      <c r="AV33" s="57">
        <v>3.09</v>
      </c>
      <c r="BE33" s="57">
        <v>2.1800000000000002</v>
      </c>
      <c r="BF33" s="57">
        <v>1.1816</v>
      </c>
    </row>
    <row r="34" spans="1:60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I34" s="57">
        <v>1.2210000000000001</v>
      </c>
      <c r="L34" s="57">
        <v>1.2709999999999999</v>
      </c>
      <c r="AG34" s="57">
        <v>1.1100000000000001</v>
      </c>
      <c r="AH34" s="57">
        <v>0.60019999999999996</v>
      </c>
      <c r="AJ34" s="57">
        <v>3.12</v>
      </c>
      <c r="AM34" s="57">
        <v>3.12</v>
      </c>
      <c r="AP34" s="57">
        <v>2.84</v>
      </c>
      <c r="AS34" s="57">
        <v>2.5</v>
      </c>
      <c r="BE34" s="57">
        <v>1.07</v>
      </c>
      <c r="BF34" s="57">
        <v>0.57789999999999997</v>
      </c>
    </row>
    <row r="35" spans="1:60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I35" s="57">
        <v>0.83399999999999996</v>
      </c>
      <c r="L35" s="57">
        <v>1.1180000000000001</v>
      </c>
      <c r="O35" s="57">
        <v>1.671</v>
      </c>
      <c r="R35" s="57">
        <v>0.48099999999999998</v>
      </c>
      <c r="U35" s="57">
        <v>0.77800000000000002</v>
      </c>
      <c r="AG35" s="57">
        <v>2.16</v>
      </c>
      <c r="AH35" s="57">
        <v>1.3604000000000001</v>
      </c>
      <c r="AJ35" s="57">
        <v>3.05</v>
      </c>
      <c r="AM35" s="57">
        <v>2</v>
      </c>
      <c r="AP35" s="57">
        <v>2</v>
      </c>
      <c r="AS35" s="57">
        <v>2.68</v>
      </c>
      <c r="AV35" s="57">
        <v>2.2999999999999998</v>
      </c>
      <c r="AY35" s="57">
        <v>2.2999999999999998</v>
      </c>
      <c r="BE35" s="57">
        <v>1.36</v>
      </c>
      <c r="BF35" s="57">
        <v>0.85950000000000004</v>
      </c>
    </row>
    <row r="36" spans="1:60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</row>
    <row r="37" spans="1:60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</row>
    <row r="38" spans="1:60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</row>
    <row r="39" spans="1:60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</row>
    <row r="40" spans="1:60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</row>
    <row r="41" spans="1:60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</row>
    <row r="42" spans="1:60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G42" s="57">
        <v>10</v>
      </c>
      <c r="I42" s="57">
        <v>1.228</v>
      </c>
      <c r="L42" s="57">
        <v>1.0980000000000001</v>
      </c>
      <c r="O42" s="57">
        <v>1.1379999999999999</v>
      </c>
      <c r="AG42" s="57">
        <v>2.04</v>
      </c>
      <c r="AH42" s="57">
        <v>1.052</v>
      </c>
      <c r="AJ42" s="57">
        <v>2.7829999999999999</v>
      </c>
      <c r="AM42" s="57">
        <v>2.6339999999999999</v>
      </c>
      <c r="AP42" s="57">
        <v>2.1360000000000001</v>
      </c>
      <c r="BE42" s="57">
        <v>1.25</v>
      </c>
      <c r="BF42" s="57" t="s">
        <v>303</v>
      </c>
    </row>
    <row r="43" spans="1:60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60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</row>
    <row r="45" spans="1:60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60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I46" s="57">
        <v>0.89200000000000002</v>
      </c>
      <c r="L46" s="57">
        <v>0.61799999999999999</v>
      </c>
      <c r="O46" s="57">
        <v>0.66800000000000004</v>
      </c>
      <c r="R46" s="57">
        <v>0.628</v>
      </c>
      <c r="AG46" s="57">
        <v>2.2999999999999998</v>
      </c>
      <c r="AH46" s="57">
        <v>1.3892</v>
      </c>
      <c r="AJ46" s="57">
        <v>2.2069999999999999</v>
      </c>
      <c r="AM46" s="57">
        <v>2.29</v>
      </c>
      <c r="AP46" s="57">
        <v>2.1360000000000001</v>
      </c>
      <c r="BE46" s="57">
        <v>1.56</v>
      </c>
      <c r="BF46" s="57">
        <v>0.91590000000000005</v>
      </c>
    </row>
    <row r="47" spans="1:60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G47" s="57">
        <v>10</v>
      </c>
      <c r="I47" s="57">
        <v>1.9710000000000001</v>
      </c>
      <c r="L47" s="57">
        <v>2.0219999999999998</v>
      </c>
      <c r="O47" s="57">
        <v>2.008</v>
      </c>
      <c r="AG47" s="57">
        <v>1.33</v>
      </c>
      <c r="AH47" s="57">
        <v>0.72099999999999997</v>
      </c>
      <c r="AJ47" s="57">
        <v>2.2069999999999999</v>
      </c>
      <c r="AM47" s="57">
        <v>2.29</v>
      </c>
      <c r="AP47" s="57">
        <v>2.1360000000000001</v>
      </c>
      <c r="BE47" s="57">
        <v>0.78</v>
      </c>
      <c r="BF47" s="57">
        <v>0.42430000000000001</v>
      </c>
      <c r="BH47" s="57" t="s">
        <v>304</v>
      </c>
    </row>
    <row r="48" spans="1:60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G48" s="57">
        <v>10</v>
      </c>
      <c r="I48" s="57">
        <v>1.171</v>
      </c>
      <c r="L48" s="57">
        <v>1.468</v>
      </c>
      <c r="O48" s="57">
        <v>1.4430000000000001</v>
      </c>
      <c r="AG48" s="57">
        <v>1.49</v>
      </c>
      <c r="AH48" s="57">
        <v>0.74790000000000001</v>
      </c>
      <c r="AJ48" s="57">
        <v>2.5539999999999998</v>
      </c>
      <c r="AM48" s="57">
        <v>2.4300000000000002</v>
      </c>
      <c r="AP48" s="57">
        <v>2.2040000000000002</v>
      </c>
      <c r="BE48" s="57">
        <v>1.27</v>
      </c>
      <c r="BF48" s="57">
        <v>0.65059999999999996</v>
      </c>
      <c r="BH48" s="57" t="s">
        <v>304</v>
      </c>
    </row>
    <row r="49" spans="1:34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</row>
    <row r="50" spans="1:34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</row>
    <row r="51" spans="1:34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</row>
    <row r="52" spans="1:34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</row>
    <row r="53" spans="1:34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I53" s="57">
        <v>1.3009999999999999</v>
      </c>
      <c r="L53" s="57">
        <v>1.38</v>
      </c>
      <c r="AG53" s="57">
        <v>1.1399999999999999</v>
      </c>
      <c r="AH53" s="57">
        <v>0.58179999999999998</v>
      </c>
    </row>
    <row r="54" spans="1:34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</row>
    <row r="55" spans="1:34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</row>
    <row r="56" spans="1:34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</row>
    <row r="57" spans="1:34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</row>
    <row r="58" spans="1:34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</row>
    <row r="59" spans="1:34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</row>
    <row r="60" spans="1:34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</row>
    <row r="61" spans="1:34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</row>
    <row r="62" spans="1:34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</row>
    <row r="63" spans="1:34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</row>
    <row r="64" spans="1:34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</row>
    <row r="65" spans="1:58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</row>
    <row r="66" spans="1:58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</row>
    <row r="67" spans="1:58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</row>
    <row r="68" spans="1:58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</row>
    <row r="69" spans="1:58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</row>
    <row r="70" spans="1:58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</row>
    <row r="71" spans="1:58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</row>
    <row r="72" spans="1:58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</row>
    <row r="73" spans="1:58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</row>
    <row r="74" spans="1:58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</row>
    <row r="75" spans="1:58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AJ75" s="57">
        <v>3.1509999999999998</v>
      </c>
      <c r="AM75" s="57">
        <v>3.0310000000000001</v>
      </c>
      <c r="AP75" s="57">
        <v>2.7890000000000001</v>
      </c>
      <c r="BE75" s="57">
        <v>1.3</v>
      </c>
      <c r="BF75" s="57">
        <v>0.80800000000000005</v>
      </c>
    </row>
    <row r="76" spans="1:58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</row>
    <row r="77" spans="1:58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</row>
    <row r="78" spans="1:58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</row>
    <row r="79" spans="1:58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</row>
    <row r="80" spans="1:58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</row>
    <row r="81" spans="1:58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58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AJ82" s="57">
        <v>3.8010000000000002</v>
      </c>
      <c r="AM82" s="57">
        <v>2.9980000000000002</v>
      </c>
      <c r="AP82" s="57">
        <v>3.4860000000000002</v>
      </c>
      <c r="AS82" s="57">
        <v>3.7010000000000001</v>
      </c>
      <c r="AV82" s="57">
        <v>3.496</v>
      </c>
      <c r="BE82" s="57">
        <v>1.74</v>
      </c>
      <c r="BF82" s="57">
        <v>1.0678000000000001</v>
      </c>
    </row>
    <row r="83" spans="1:58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</row>
    <row r="84" spans="1:58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</row>
    <row r="85" spans="1:58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</row>
    <row r="86" spans="1:58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</row>
    <row r="87" spans="1:58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</row>
    <row r="88" spans="1:58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</row>
    <row r="89" spans="1:58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</row>
    <row r="90" spans="1:58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</row>
    <row r="91" spans="1:58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I91" s="57">
        <v>1.3879999999999999</v>
      </c>
      <c r="L91" s="57">
        <v>1.371</v>
      </c>
      <c r="AG91" s="57">
        <v>1.81</v>
      </c>
      <c r="AH91" s="57">
        <v>0.93110000000000004</v>
      </c>
      <c r="AJ91" s="57">
        <v>2.2599999999999998</v>
      </c>
      <c r="AM91" s="57">
        <v>2.3780000000000001</v>
      </c>
      <c r="AP91" s="57">
        <v>1.893</v>
      </c>
      <c r="AS91" s="57">
        <v>2.6179999999999999</v>
      </c>
      <c r="BE91" s="57">
        <v>0.54</v>
      </c>
      <c r="BF91" s="57">
        <v>0.27939999999999998</v>
      </c>
    </row>
    <row r="92" spans="1:58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I92" s="57">
        <v>0.998</v>
      </c>
      <c r="L92" s="57">
        <v>0.88800000000000001</v>
      </c>
      <c r="O92" s="57">
        <v>0.97099999999999997</v>
      </c>
      <c r="AG92" s="57">
        <v>1.78</v>
      </c>
      <c r="AH92" s="57">
        <v>0.86550000000000005</v>
      </c>
      <c r="AJ92" s="57">
        <v>2.7509999999999999</v>
      </c>
      <c r="AM92" s="57">
        <v>2.641</v>
      </c>
      <c r="BE92" s="57">
        <v>0.93</v>
      </c>
      <c r="BF92" s="57">
        <v>0.48499999999999999</v>
      </c>
    </row>
    <row r="93" spans="1:58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I93" s="57">
        <v>1.248</v>
      </c>
      <c r="L93" s="57">
        <v>1.3120000000000001</v>
      </c>
      <c r="O93" s="57">
        <v>1.361</v>
      </c>
      <c r="AG93" s="57">
        <v>1.31</v>
      </c>
      <c r="AH93" s="57">
        <v>0.68269999999999997</v>
      </c>
      <c r="AJ93" s="57">
        <v>2</v>
      </c>
      <c r="AM93" s="57">
        <v>1.9530000000000001</v>
      </c>
      <c r="BE93" s="57">
        <v>1.58</v>
      </c>
      <c r="BF93" s="57">
        <v>0.85640000000000005</v>
      </c>
    </row>
    <row r="94" spans="1:58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</row>
    <row r="95" spans="1:58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58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58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58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58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58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58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58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58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58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58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58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58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I107" s="57">
        <v>1.2</v>
      </c>
      <c r="L107" s="57">
        <v>1.3440000000000001</v>
      </c>
      <c r="O107" s="57">
        <v>1.2430000000000001</v>
      </c>
      <c r="AG107" s="57">
        <v>1.61</v>
      </c>
      <c r="AH107" s="57">
        <v>0.85119999999999996</v>
      </c>
      <c r="AJ107" s="57">
        <v>1.9419999999999999</v>
      </c>
      <c r="AM107" s="57">
        <v>2.1110000000000002</v>
      </c>
      <c r="AP107" s="57">
        <v>1.95</v>
      </c>
      <c r="BE107" s="57">
        <v>1.6</v>
      </c>
      <c r="BF107" s="57">
        <v>0.874</v>
      </c>
    </row>
    <row r="108" spans="1:58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58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58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I110" s="57">
        <v>1.228</v>
      </c>
      <c r="L110" s="57">
        <v>1.1879999999999999</v>
      </c>
      <c r="O110" s="57">
        <v>1.198</v>
      </c>
      <c r="AG110" s="57">
        <v>1.26</v>
      </c>
      <c r="AH110" s="57">
        <v>0.72489999999999999</v>
      </c>
      <c r="AJ110" s="57">
        <v>2.5499999999999998</v>
      </c>
      <c r="AM110" s="57">
        <v>2.5299999999999998</v>
      </c>
      <c r="AP110" s="57">
        <v>3</v>
      </c>
      <c r="AS110" s="57">
        <v>2.7</v>
      </c>
      <c r="BE110" s="57">
        <v>1.56</v>
      </c>
      <c r="BF110" s="57">
        <v>0.88470000000000004</v>
      </c>
    </row>
    <row r="111" spans="1:58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I111" s="57">
        <v>1.3380000000000001</v>
      </c>
      <c r="L111" s="57">
        <v>1.36</v>
      </c>
      <c r="AG111" s="57">
        <v>1.98</v>
      </c>
      <c r="AH111" s="57">
        <v>1.1147</v>
      </c>
      <c r="AJ111" s="57">
        <v>2.98</v>
      </c>
      <c r="AM111" s="57">
        <v>2.94</v>
      </c>
      <c r="BE111" s="57" t="s">
        <v>286</v>
      </c>
      <c r="BF111" s="57">
        <v>1.1097999999999999</v>
      </c>
    </row>
    <row r="112" spans="1:58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I112" s="57">
        <v>1.6</v>
      </c>
      <c r="L112" s="57">
        <v>1.68</v>
      </c>
      <c r="AG112" s="57">
        <v>0.74099999999999999</v>
      </c>
      <c r="AH112" s="57">
        <v>0.39960000000000001</v>
      </c>
      <c r="AJ112" s="57">
        <v>2.54</v>
      </c>
      <c r="AM112" s="57">
        <v>2.6</v>
      </c>
      <c r="AP112" s="57">
        <v>2.5499999999999998</v>
      </c>
      <c r="BE112" s="57">
        <v>1.7</v>
      </c>
      <c r="BF112" s="57">
        <v>0.95150000000000001</v>
      </c>
    </row>
    <row r="113" spans="1:58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</row>
    <row r="114" spans="1:58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</row>
    <row r="115" spans="1:58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</row>
    <row r="116" spans="1:58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</row>
    <row r="117" spans="1:58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E117" s="57" t="s">
        <v>138</v>
      </c>
      <c r="I117" s="57">
        <v>1.71</v>
      </c>
      <c r="L117" s="57">
        <v>1.998</v>
      </c>
      <c r="O117" s="57">
        <v>1.738</v>
      </c>
      <c r="R117" s="57">
        <v>1.651</v>
      </c>
      <c r="U117" s="57">
        <v>1.718</v>
      </c>
      <c r="X117" s="57">
        <v>1.821</v>
      </c>
      <c r="AG117" s="57">
        <v>1.2</v>
      </c>
      <c r="AH117" s="57">
        <v>0.53139999999999998</v>
      </c>
      <c r="AJ117" s="57">
        <v>2.5</v>
      </c>
      <c r="AM117" s="57">
        <v>1.81</v>
      </c>
      <c r="AP117" s="57">
        <v>2</v>
      </c>
      <c r="AS117" s="57">
        <v>2.5499999999999998</v>
      </c>
      <c r="AV117" s="57">
        <v>2.7</v>
      </c>
      <c r="BE117" s="57">
        <v>0.63260000000000005</v>
      </c>
      <c r="BF117" s="57">
        <v>0.28100000000000003</v>
      </c>
    </row>
    <row r="118" spans="1:58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E118" s="57" t="s">
        <v>140</v>
      </c>
    </row>
    <row r="119" spans="1:58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E119" s="57" t="s">
        <v>141</v>
      </c>
    </row>
    <row r="120" spans="1:58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E120" s="57" t="s">
        <v>143</v>
      </c>
      <c r="I120" s="57">
        <v>2.4180000000000001</v>
      </c>
      <c r="L120" s="57">
        <v>2.5910000000000002</v>
      </c>
      <c r="O120" s="57">
        <v>2.7509999999999999</v>
      </c>
      <c r="R120" s="57">
        <v>2.6659999999999999</v>
      </c>
      <c r="U120" s="57">
        <v>2.9510000000000001</v>
      </c>
      <c r="X120" s="57">
        <v>2.9580000000000002</v>
      </c>
      <c r="AG120" s="57">
        <v>2.95</v>
      </c>
      <c r="AH120" s="57">
        <v>1.3339000000000001</v>
      </c>
      <c r="AJ120" s="57">
        <v>3.15</v>
      </c>
      <c r="AM120" s="57">
        <v>3.15</v>
      </c>
      <c r="AP120" s="57">
        <v>3.25</v>
      </c>
      <c r="BE120" s="57">
        <v>2.6566000000000001</v>
      </c>
      <c r="BF120" s="57">
        <v>0.78</v>
      </c>
    </row>
    <row r="121" spans="1:58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E121" s="57" t="s">
        <v>144</v>
      </c>
    </row>
    <row r="122" spans="1:58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E122" s="57" t="s">
        <v>145</v>
      </c>
    </row>
    <row r="123" spans="1:58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</row>
    <row r="124" spans="1:58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  <c r="AJ124" s="57" t="s">
        <v>281</v>
      </c>
    </row>
    <row r="125" spans="1:58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</row>
    <row r="126" spans="1:58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</row>
    <row r="127" spans="1:58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</row>
    <row r="128" spans="1:58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</row>
    <row r="129" spans="1:5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</row>
    <row r="130" spans="1:5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</row>
    <row r="131" spans="1:5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</row>
    <row r="132" spans="1:5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</row>
    <row r="133" spans="1:5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</row>
    <row r="134" spans="1:5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</row>
    <row r="135" spans="1:5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</row>
    <row r="136" spans="1:5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</row>
    <row r="137" spans="1:5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</row>
    <row r="138" spans="1:5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</row>
    <row r="139" spans="1:5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</row>
    <row r="140" spans="1:5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</row>
    <row r="141" spans="1:5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</row>
    <row r="142" spans="1:5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</row>
    <row r="143" spans="1:5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</row>
    <row r="144" spans="1:5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</row>
    <row r="145" spans="1:60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</row>
    <row r="146" spans="1:60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</row>
    <row r="147" spans="1:60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</row>
    <row r="148" spans="1:60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</row>
    <row r="149" spans="1:60" x14ac:dyDescent="0.2">
      <c r="A149" s="57" t="s">
        <v>114</v>
      </c>
      <c r="B149" s="76" t="s">
        <v>133</v>
      </c>
      <c r="D149" s="54" t="s">
        <v>64</v>
      </c>
      <c r="E149" s="57">
        <v>2011</v>
      </c>
      <c r="I149" s="57">
        <v>1.218</v>
      </c>
      <c r="L149" s="57">
        <v>1.288</v>
      </c>
      <c r="AG149" s="57">
        <v>1.55</v>
      </c>
      <c r="AH149" s="57">
        <v>0.84060000000000001</v>
      </c>
      <c r="AJ149" s="57">
        <v>1.69</v>
      </c>
      <c r="AM149" s="57">
        <v>1.7</v>
      </c>
      <c r="AP149" s="57">
        <v>1.7</v>
      </c>
      <c r="BE149" s="57">
        <v>1.1399999999999999</v>
      </c>
      <c r="BF149" s="57">
        <v>0.64390000000000003</v>
      </c>
    </row>
    <row r="150" spans="1:60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  <c r="I150" s="57">
        <v>1.1819999999999999</v>
      </c>
      <c r="L150" s="57">
        <v>1.1180000000000001</v>
      </c>
      <c r="O150" s="57">
        <v>1.2130000000000001</v>
      </c>
      <c r="AG150" s="57">
        <v>1.62</v>
      </c>
      <c r="AH150" s="57">
        <v>0.85899999999999999</v>
      </c>
      <c r="AJ150" s="57">
        <v>2.64</v>
      </c>
      <c r="AM150" s="57">
        <v>2.5099999999999998</v>
      </c>
      <c r="AP150" s="57">
        <v>2.73</v>
      </c>
      <c r="BE150" s="57">
        <v>1.56</v>
      </c>
      <c r="BF150" s="57">
        <v>0.82599999999999996</v>
      </c>
    </row>
    <row r="151" spans="1:60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  <c r="I151" s="57">
        <v>1.3140000000000001</v>
      </c>
      <c r="L151" s="57">
        <v>1.258</v>
      </c>
      <c r="O151" s="57">
        <v>1.256</v>
      </c>
      <c r="AG151" s="86">
        <v>2.13</v>
      </c>
      <c r="AH151" s="86">
        <v>1.1295999999999999</v>
      </c>
      <c r="AJ151" s="57">
        <v>3.1339999999999999</v>
      </c>
      <c r="AM151" s="57">
        <v>2.9239999999999999</v>
      </c>
      <c r="AP151" s="57">
        <v>3.0419999999999998</v>
      </c>
      <c r="BE151" s="57">
        <v>1.35</v>
      </c>
      <c r="BF151" s="57">
        <v>0.73299999999999998</v>
      </c>
    </row>
    <row r="152" spans="1:60" x14ac:dyDescent="0.2">
      <c r="A152" s="57" t="s">
        <v>134</v>
      </c>
      <c r="B152" s="76" t="s">
        <v>135</v>
      </c>
      <c r="D152" s="54" t="s">
        <v>64</v>
      </c>
      <c r="E152" s="57">
        <v>2008</v>
      </c>
    </row>
    <row r="153" spans="1:60" x14ac:dyDescent="0.2">
      <c r="D153" s="54" t="s">
        <v>64</v>
      </c>
      <c r="E153" s="57">
        <v>2127</v>
      </c>
      <c r="I153" s="57">
        <v>1.2509999999999999</v>
      </c>
      <c r="L153" s="57">
        <v>1.2190000000000001</v>
      </c>
      <c r="AG153" s="57">
        <v>0.55000000000000004</v>
      </c>
      <c r="AH153" s="57">
        <v>0.28289999999999998</v>
      </c>
      <c r="BH153" s="57" t="s">
        <v>305</v>
      </c>
    </row>
    <row r="154" spans="1:60" x14ac:dyDescent="0.2">
      <c r="D154" s="3"/>
    </row>
    <row r="155" spans="1:60" x14ac:dyDescent="0.2">
      <c r="D155" s="3"/>
    </row>
    <row r="156" spans="1:60" x14ac:dyDescent="0.2">
      <c r="D156" s="3"/>
    </row>
    <row r="157" spans="1:60" x14ac:dyDescent="0.2">
      <c r="D157" s="3"/>
    </row>
    <row r="158" spans="1:60" x14ac:dyDescent="0.2">
      <c r="D158" s="3"/>
    </row>
    <row r="159" spans="1:60" x14ac:dyDescent="0.2">
      <c r="D159" s="3"/>
    </row>
    <row r="160" spans="1:60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26"/>
  <sheetViews>
    <sheetView tabSelected="1" zoomScale="140" zoomScaleNormal="140" workbookViewId="0">
      <selection activeCell="C15" sqref="C15"/>
    </sheetView>
  </sheetViews>
  <sheetFormatPr baseColWidth="10" defaultColWidth="14.3984375" defaultRowHeight="15" customHeight="1" x14ac:dyDescent="0.2"/>
  <sheetData>
    <row r="1" spans="1:5" ht="16" x14ac:dyDescent="0.2">
      <c r="A1" s="61" t="s">
        <v>128</v>
      </c>
      <c r="B1" s="61" t="s">
        <v>129</v>
      </c>
      <c r="C1" s="62" t="s">
        <v>12</v>
      </c>
      <c r="D1" s="62" t="s">
        <v>13</v>
      </c>
      <c r="E1" s="95" t="s">
        <v>26</v>
      </c>
    </row>
    <row r="2" spans="1:5" ht="14" x14ac:dyDescent="0.2">
      <c r="A2" s="67" t="s">
        <v>134</v>
      </c>
      <c r="B2" s="67" t="s">
        <v>146</v>
      </c>
      <c r="C2" s="63" t="s">
        <v>64</v>
      </c>
      <c r="D2" s="66">
        <v>1478</v>
      </c>
    </row>
    <row r="3" spans="1:5" ht="14" x14ac:dyDescent="0.2">
      <c r="A3" s="67" t="s">
        <v>134</v>
      </c>
      <c r="B3" s="67" t="s">
        <v>135</v>
      </c>
      <c r="C3" s="63" t="s">
        <v>64</v>
      </c>
      <c r="D3" s="66">
        <v>2004</v>
      </c>
    </row>
    <row r="4" spans="1:5" ht="14" x14ac:dyDescent="0.2">
      <c r="A4" s="67" t="s">
        <v>134</v>
      </c>
      <c r="B4" s="67" t="s">
        <v>135</v>
      </c>
      <c r="C4" s="63" t="s">
        <v>64</v>
      </c>
      <c r="D4" s="66">
        <v>2005</v>
      </c>
    </row>
    <row r="5" spans="1:5" ht="14" x14ac:dyDescent="0.2">
      <c r="A5" s="67" t="s">
        <v>134</v>
      </c>
      <c r="B5" s="67" t="s">
        <v>135</v>
      </c>
      <c r="C5" s="63" t="s">
        <v>64</v>
      </c>
      <c r="D5" s="66">
        <v>2006</v>
      </c>
    </row>
    <row r="6" spans="1:5" ht="14" x14ac:dyDescent="0.2">
      <c r="A6" s="67" t="s">
        <v>134</v>
      </c>
      <c r="B6" s="67" t="s">
        <v>135</v>
      </c>
      <c r="C6" s="63" t="s">
        <v>64</v>
      </c>
      <c r="D6" s="66">
        <v>2007</v>
      </c>
    </row>
    <row r="7" spans="1:5" ht="14" x14ac:dyDescent="0.2">
      <c r="A7" s="67" t="s">
        <v>134</v>
      </c>
      <c r="B7" s="67" t="s">
        <v>135</v>
      </c>
      <c r="C7" s="63" t="s">
        <v>64</v>
      </c>
      <c r="D7" s="66">
        <v>2008</v>
      </c>
    </row>
    <row r="8" spans="1:5" ht="14" x14ac:dyDescent="0.2">
      <c r="A8" s="67" t="s">
        <v>114</v>
      </c>
      <c r="B8" s="67" t="s">
        <v>131</v>
      </c>
      <c r="C8" s="63" t="s">
        <v>64</v>
      </c>
      <c r="D8" s="66">
        <v>2009</v>
      </c>
    </row>
    <row r="9" spans="1:5" ht="14" x14ac:dyDescent="0.2">
      <c r="A9" s="67" t="s">
        <v>114</v>
      </c>
      <c r="B9" s="67" t="s">
        <v>133</v>
      </c>
      <c r="C9" s="63" t="s">
        <v>64</v>
      </c>
      <c r="D9" s="66">
        <v>2010</v>
      </c>
    </row>
    <row r="10" spans="1:5" ht="14" x14ac:dyDescent="0.2">
      <c r="A10" s="67" t="s">
        <v>114</v>
      </c>
      <c r="B10" s="67" t="s">
        <v>133</v>
      </c>
      <c r="C10" s="63" t="s">
        <v>64</v>
      </c>
      <c r="D10" s="66">
        <v>2011</v>
      </c>
    </row>
    <row r="11" spans="1:5" ht="14" x14ac:dyDescent="0.2">
      <c r="A11" s="67" t="s">
        <v>134</v>
      </c>
      <c r="B11" s="67" t="s">
        <v>146</v>
      </c>
      <c r="C11" s="63" t="s">
        <v>64</v>
      </c>
      <c r="D11" s="66">
        <v>2012</v>
      </c>
    </row>
    <row r="12" spans="1:5" ht="14" x14ac:dyDescent="0.2">
      <c r="A12" s="67" t="s">
        <v>134</v>
      </c>
      <c r="B12" s="67" t="s">
        <v>146</v>
      </c>
      <c r="C12" s="63" t="s">
        <v>64</v>
      </c>
      <c r="D12" s="66">
        <v>2013</v>
      </c>
      <c r="E12" t="s">
        <v>344</v>
      </c>
    </row>
    <row r="13" spans="1:5" ht="14" x14ac:dyDescent="0.2">
      <c r="A13" s="67" t="s">
        <v>134</v>
      </c>
      <c r="B13" s="67" t="s">
        <v>146</v>
      </c>
      <c r="C13" s="63" t="s">
        <v>64</v>
      </c>
      <c r="D13" s="66">
        <v>2014</v>
      </c>
    </row>
    <row r="14" spans="1:5" ht="14" x14ac:dyDescent="0.2">
      <c r="A14" s="67" t="s">
        <v>134</v>
      </c>
      <c r="B14" s="67" t="s">
        <v>146</v>
      </c>
      <c r="C14" s="63" t="s">
        <v>64</v>
      </c>
      <c r="D14" s="66">
        <v>2015</v>
      </c>
    </row>
    <row r="15" spans="1:5" ht="14" x14ac:dyDescent="0.2">
      <c r="A15" s="67" t="s">
        <v>134</v>
      </c>
      <c r="B15" s="67" t="s">
        <v>146</v>
      </c>
      <c r="C15" s="15" t="s">
        <v>64</v>
      </c>
      <c r="D15" s="66">
        <v>2016</v>
      </c>
      <c r="E15" t="s">
        <v>345</v>
      </c>
    </row>
    <row r="16" spans="1:5" ht="14" x14ac:dyDescent="0.2">
      <c r="A16" s="67" t="s">
        <v>139</v>
      </c>
      <c r="B16" s="67" t="s">
        <v>139</v>
      </c>
      <c r="C16" s="63" t="s">
        <v>64</v>
      </c>
      <c r="D16" s="66">
        <v>2020</v>
      </c>
    </row>
    <row r="17" spans="1:5" ht="14" x14ac:dyDescent="0.2">
      <c r="A17" s="67" t="s">
        <v>139</v>
      </c>
      <c r="B17" s="67" t="s">
        <v>139</v>
      </c>
      <c r="C17" s="63" t="s">
        <v>64</v>
      </c>
      <c r="D17" s="66">
        <v>2021</v>
      </c>
    </row>
    <row r="18" spans="1:5" ht="14" x14ac:dyDescent="0.2">
      <c r="A18" s="67" t="s">
        <v>139</v>
      </c>
      <c r="B18" s="67" t="s">
        <v>139</v>
      </c>
      <c r="C18" s="63" t="s">
        <v>58</v>
      </c>
      <c r="D18" s="66">
        <v>2022</v>
      </c>
    </row>
    <row r="19" spans="1:5" ht="14" x14ac:dyDescent="0.2">
      <c r="A19" s="67" t="s">
        <v>139</v>
      </c>
      <c r="B19" s="67" t="s">
        <v>139</v>
      </c>
      <c r="C19" s="63" t="s">
        <v>58</v>
      </c>
      <c r="D19" s="66">
        <v>2023</v>
      </c>
    </row>
    <row r="20" spans="1:5" ht="14" x14ac:dyDescent="0.2">
      <c r="A20" s="67" t="s">
        <v>139</v>
      </c>
      <c r="B20" s="67" t="s">
        <v>139</v>
      </c>
      <c r="C20" s="63" t="s">
        <v>64</v>
      </c>
      <c r="D20" s="66">
        <v>2024</v>
      </c>
    </row>
    <row r="21" spans="1:5" ht="14" x14ac:dyDescent="0.2">
      <c r="A21" s="67" t="s">
        <v>139</v>
      </c>
      <c r="B21" s="67" t="s">
        <v>139</v>
      </c>
      <c r="C21" s="63" t="s">
        <v>64</v>
      </c>
      <c r="D21" s="66">
        <v>2025</v>
      </c>
    </row>
    <row r="22" spans="1:5" ht="14" x14ac:dyDescent="0.2">
      <c r="A22" s="67" t="s">
        <v>139</v>
      </c>
      <c r="B22" s="67" t="s">
        <v>147</v>
      </c>
      <c r="C22" s="63" t="s">
        <v>64</v>
      </c>
      <c r="D22" s="66">
        <v>2026</v>
      </c>
    </row>
    <row r="23" spans="1:5" ht="14" x14ac:dyDescent="0.2">
      <c r="A23" s="67" t="s">
        <v>139</v>
      </c>
      <c r="B23" s="67" t="s">
        <v>147</v>
      </c>
      <c r="C23" s="63" t="s">
        <v>64</v>
      </c>
      <c r="D23" s="66">
        <v>2027</v>
      </c>
    </row>
    <row r="24" spans="1:5" ht="14" x14ac:dyDescent="0.2">
      <c r="A24" s="67" t="s">
        <v>139</v>
      </c>
      <c r="B24" s="67" t="s">
        <v>147</v>
      </c>
      <c r="C24" s="63" t="s">
        <v>64</v>
      </c>
      <c r="D24" s="66">
        <v>2028</v>
      </c>
    </row>
    <row r="25" spans="1:5" ht="14" x14ac:dyDescent="0.2">
      <c r="A25" s="67" t="s">
        <v>139</v>
      </c>
      <c r="B25" s="67" t="s">
        <v>147</v>
      </c>
      <c r="C25" s="63" t="s">
        <v>58</v>
      </c>
      <c r="D25" s="66">
        <v>2029</v>
      </c>
    </row>
    <row r="26" spans="1:5" ht="14" x14ac:dyDescent="0.2">
      <c r="A26" s="67" t="s">
        <v>139</v>
      </c>
      <c r="B26" s="67" t="s">
        <v>147</v>
      </c>
      <c r="C26" s="63" t="s">
        <v>58</v>
      </c>
      <c r="D26" s="66">
        <v>2030</v>
      </c>
    </row>
    <row r="27" spans="1:5" ht="14" x14ac:dyDescent="0.2">
      <c r="A27" s="67" t="s">
        <v>139</v>
      </c>
      <c r="B27" s="67" t="s">
        <v>147</v>
      </c>
      <c r="C27" s="63" t="s">
        <v>64</v>
      </c>
      <c r="D27" s="66">
        <v>2031</v>
      </c>
    </row>
    <row r="28" spans="1:5" ht="14" x14ac:dyDescent="0.2">
      <c r="A28" s="67" t="s">
        <v>127</v>
      </c>
      <c r="B28" s="67" t="s">
        <v>146</v>
      </c>
      <c r="C28" s="63" t="s">
        <v>64</v>
      </c>
      <c r="D28" s="66">
        <v>2085</v>
      </c>
      <c r="E28" t="s">
        <v>346</v>
      </c>
    </row>
    <row r="29" spans="1:5" ht="14" x14ac:dyDescent="0.2">
      <c r="A29" s="67" t="s">
        <v>127</v>
      </c>
      <c r="B29" s="67" t="s">
        <v>146</v>
      </c>
      <c r="C29" s="63" t="s">
        <v>64</v>
      </c>
      <c r="D29" s="66">
        <v>2086</v>
      </c>
    </row>
    <row r="30" spans="1:5" ht="14" x14ac:dyDescent="0.2">
      <c r="A30" s="67" t="s">
        <v>127</v>
      </c>
      <c r="B30" s="67" t="s">
        <v>146</v>
      </c>
      <c r="C30" s="63" t="s">
        <v>64</v>
      </c>
      <c r="D30" s="66">
        <v>2087</v>
      </c>
    </row>
    <row r="31" spans="1:5" ht="14" x14ac:dyDescent="0.2">
      <c r="A31" s="67" t="s">
        <v>127</v>
      </c>
      <c r="B31" s="67" t="s">
        <v>146</v>
      </c>
      <c r="C31" s="63" t="s">
        <v>64</v>
      </c>
      <c r="D31" s="66">
        <v>2088</v>
      </c>
    </row>
    <row r="32" spans="1:5" ht="14" x14ac:dyDescent="0.2">
      <c r="A32" s="67" t="s">
        <v>127</v>
      </c>
      <c r="B32" s="67" t="s">
        <v>146</v>
      </c>
      <c r="C32" s="63" t="s">
        <v>58</v>
      </c>
      <c r="D32" s="66">
        <v>2089</v>
      </c>
    </row>
    <row r="33" spans="1:4" ht="14" x14ac:dyDescent="0.2">
      <c r="A33" s="67" t="s">
        <v>127</v>
      </c>
      <c r="B33" s="67" t="s">
        <v>146</v>
      </c>
      <c r="C33" s="15" t="s">
        <v>64</v>
      </c>
      <c r="D33" s="66">
        <v>2090</v>
      </c>
    </row>
    <row r="34" spans="1:4" ht="14" x14ac:dyDescent="0.2">
      <c r="A34" s="67" t="s">
        <v>127</v>
      </c>
      <c r="B34" s="67" t="s">
        <v>146</v>
      </c>
      <c r="C34" s="63" t="s">
        <v>58</v>
      </c>
      <c r="D34" s="66">
        <v>2091</v>
      </c>
    </row>
    <row r="35" spans="1:4" ht="14" x14ac:dyDescent="0.2">
      <c r="A35" s="67" t="s">
        <v>127</v>
      </c>
      <c r="B35" s="67" t="s">
        <v>146</v>
      </c>
      <c r="C35" s="63" t="s">
        <v>58</v>
      </c>
      <c r="D35" s="66">
        <v>2092</v>
      </c>
    </row>
    <row r="36" spans="1:4" ht="14" x14ac:dyDescent="0.2">
      <c r="A36" s="67" t="s">
        <v>127</v>
      </c>
      <c r="B36" s="67" t="s">
        <v>146</v>
      </c>
      <c r="C36" s="63" t="s">
        <v>58</v>
      </c>
      <c r="D36" s="66">
        <v>2093</v>
      </c>
    </row>
    <row r="37" spans="1:4" ht="14" x14ac:dyDescent="0.2">
      <c r="A37" s="63" t="s">
        <v>114</v>
      </c>
      <c r="B37" s="63" t="s">
        <v>131</v>
      </c>
      <c r="C37" s="63" t="s">
        <v>58</v>
      </c>
      <c r="D37" s="65">
        <v>2301</v>
      </c>
    </row>
    <row r="38" spans="1:4" ht="14" x14ac:dyDescent="0.2">
      <c r="A38" s="63" t="s">
        <v>114</v>
      </c>
      <c r="B38" s="63" t="s">
        <v>131</v>
      </c>
      <c r="C38" s="63" t="s">
        <v>64</v>
      </c>
      <c r="D38" s="64">
        <v>2302</v>
      </c>
    </row>
    <row r="39" spans="1:4" ht="14" x14ac:dyDescent="0.2">
      <c r="A39" s="63" t="s">
        <v>114</v>
      </c>
      <c r="B39" s="63" t="s">
        <v>131</v>
      </c>
      <c r="C39" s="63" t="s">
        <v>64</v>
      </c>
      <c r="D39" s="64">
        <v>2303</v>
      </c>
    </row>
    <row r="40" spans="1:4" ht="14" x14ac:dyDescent="0.2">
      <c r="A40" s="63" t="s">
        <v>114</v>
      </c>
      <c r="B40" s="63" t="s">
        <v>131</v>
      </c>
      <c r="C40" s="63" t="s">
        <v>64</v>
      </c>
      <c r="D40" s="64">
        <v>2304</v>
      </c>
    </row>
    <row r="41" spans="1:4" ht="14" x14ac:dyDescent="0.2">
      <c r="A41" s="63" t="s">
        <v>114</v>
      </c>
      <c r="B41" s="63" t="s">
        <v>131</v>
      </c>
      <c r="C41" s="63" t="s">
        <v>64</v>
      </c>
      <c r="D41" s="64">
        <v>2305</v>
      </c>
    </row>
    <row r="42" spans="1:4" ht="14" x14ac:dyDescent="0.2">
      <c r="A42" s="63" t="s">
        <v>114</v>
      </c>
      <c r="B42" s="63" t="s">
        <v>131</v>
      </c>
      <c r="C42" s="63" t="s">
        <v>64</v>
      </c>
      <c r="D42" s="64">
        <v>2306</v>
      </c>
    </row>
    <row r="43" spans="1:4" ht="14" x14ac:dyDescent="0.2">
      <c r="A43" s="63" t="s">
        <v>114</v>
      </c>
      <c r="B43" s="63" t="s">
        <v>131</v>
      </c>
      <c r="C43" s="63" t="s">
        <v>64</v>
      </c>
      <c r="D43" s="64">
        <v>2307</v>
      </c>
    </row>
    <row r="44" spans="1:4" ht="14" x14ac:dyDescent="0.2">
      <c r="A44" s="63" t="s">
        <v>114</v>
      </c>
      <c r="B44" s="63" t="s">
        <v>131</v>
      </c>
      <c r="C44" s="63" t="s">
        <v>64</v>
      </c>
      <c r="D44" s="64">
        <v>2308</v>
      </c>
    </row>
    <row r="45" spans="1:4" ht="14" x14ac:dyDescent="0.2">
      <c r="A45" s="63" t="s">
        <v>114</v>
      </c>
      <c r="B45" s="63" t="s">
        <v>131</v>
      </c>
      <c r="C45" s="63" t="s">
        <v>64</v>
      </c>
      <c r="D45" s="64">
        <v>2309</v>
      </c>
    </row>
    <row r="46" spans="1:4" ht="14" x14ac:dyDescent="0.2">
      <c r="A46" s="63" t="s">
        <v>114</v>
      </c>
      <c r="B46" s="63" t="s">
        <v>132</v>
      </c>
      <c r="C46" s="63" t="s">
        <v>64</v>
      </c>
      <c r="D46" s="64">
        <v>2310</v>
      </c>
    </row>
    <row r="47" spans="1:4" ht="14" x14ac:dyDescent="0.2">
      <c r="A47" s="63" t="s">
        <v>114</v>
      </c>
      <c r="B47" s="63" t="s">
        <v>132</v>
      </c>
      <c r="C47" s="63" t="s">
        <v>64</v>
      </c>
      <c r="D47" s="64">
        <v>2311</v>
      </c>
    </row>
    <row r="48" spans="1:4" ht="14" x14ac:dyDescent="0.2">
      <c r="A48" s="63" t="s">
        <v>114</v>
      </c>
      <c r="B48" s="63" t="s">
        <v>132</v>
      </c>
      <c r="C48" s="63" t="s">
        <v>64</v>
      </c>
      <c r="D48" s="64">
        <v>2312</v>
      </c>
    </row>
    <row r="49" spans="1:4" ht="14" x14ac:dyDescent="0.2">
      <c r="A49" s="63" t="s">
        <v>114</v>
      </c>
      <c r="B49" s="63" t="s">
        <v>132</v>
      </c>
      <c r="C49" s="63" t="s">
        <v>64</v>
      </c>
      <c r="D49" s="64">
        <v>2313</v>
      </c>
    </row>
    <row r="50" spans="1:4" ht="14" x14ac:dyDescent="0.2">
      <c r="A50" s="63" t="s">
        <v>114</v>
      </c>
      <c r="B50" s="63" t="s">
        <v>132</v>
      </c>
      <c r="C50" s="63" t="s">
        <v>64</v>
      </c>
      <c r="D50" s="64">
        <v>2314</v>
      </c>
    </row>
    <row r="51" spans="1:4" ht="14" x14ac:dyDescent="0.2">
      <c r="A51" s="63" t="s">
        <v>114</v>
      </c>
      <c r="B51" s="63" t="s">
        <v>132</v>
      </c>
      <c r="C51" s="63" t="s">
        <v>58</v>
      </c>
      <c r="D51" s="64">
        <v>2315</v>
      </c>
    </row>
    <row r="52" spans="1:4" ht="14" x14ac:dyDescent="0.2">
      <c r="A52" s="63" t="s">
        <v>114</v>
      </c>
      <c r="B52" s="63" t="s">
        <v>132</v>
      </c>
      <c r="C52" s="63" t="s">
        <v>64</v>
      </c>
      <c r="D52" s="64">
        <v>2316</v>
      </c>
    </row>
    <row r="53" spans="1:4" ht="14" x14ac:dyDescent="0.2">
      <c r="A53" s="63" t="s">
        <v>114</v>
      </c>
      <c r="B53" s="63" t="s">
        <v>132</v>
      </c>
      <c r="C53" s="63" t="s">
        <v>64</v>
      </c>
      <c r="D53" s="64">
        <v>2317</v>
      </c>
    </row>
    <row r="54" spans="1:4" ht="14" x14ac:dyDescent="0.2">
      <c r="A54" s="63" t="s">
        <v>114</v>
      </c>
      <c r="B54" s="63" t="s">
        <v>132</v>
      </c>
      <c r="C54" s="63" t="s">
        <v>64</v>
      </c>
      <c r="D54" s="64">
        <v>2318</v>
      </c>
    </row>
    <row r="55" spans="1:4" ht="14" x14ac:dyDescent="0.2">
      <c r="A55" s="63" t="s">
        <v>114</v>
      </c>
      <c r="B55" s="63" t="s">
        <v>132</v>
      </c>
      <c r="C55" s="63" t="s">
        <v>64</v>
      </c>
      <c r="D55" s="64">
        <v>2319</v>
      </c>
    </row>
    <row r="56" spans="1:4" ht="14" x14ac:dyDescent="0.2">
      <c r="A56" s="63" t="s">
        <v>114</v>
      </c>
      <c r="B56" s="63" t="s">
        <v>132</v>
      </c>
      <c r="C56" s="63" t="s">
        <v>58</v>
      </c>
      <c r="D56" s="64">
        <v>2320</v>
      </c>
    </row>
    <row r="57" spans="1:4" ht="14" x14ac:dyDescent="0.2">
      <c r="A57" s="63" t="s">
        <v>114</v>
      </c>
      <c r="B57" s="63" t="s">
        <v>132</v>
      </c>
      <c r="C57" s="63" t="s">
        <v>64</v>
      </c>
      <c r="D57" s="64">
        <v>2321</v>
      </c>
    </row>
    <row r="58" spans="1:4" ht="14" x14ac:dyDescent="0.2">
      <c r="A58" s="63" t="s">
        <v>114</v>
      </c>
      <c r="B58" s="63" t="s">
        <v>132</v>
      </c>
      <c r="C58" s="63" t="s">
        <v>58</v>
      </c>
      <c r="D58" s="64">
        <v>2322</v>
      </c>
    </row>
    <row r="59" spans="1:4" ht="14" x14ac:dyDescent="0.2">
      <c r="A59" s="63" t="s">
        <v>114</v>
      </c>
      <c r="B59" s="63" t="s">
        <v>132</v>
      </c>
      <c r="C59" s="63" t="s">
        <v>58</v>
      </c>
      <c r="D59" s="64">
        <v>2323</v>
      </c>
    </row>
    <row r="60" spans="1:4" ht="14" x14ac:dyDescent="0.2">
      <c r="A60" s="63" t="s">
        <v>114</v>
      </c>
      <c r="B60" s="63" t="s">
        <v>132</v>
      </c>
      <c r="C60" s="63" t="s">
        <v>64</v>
      </c>
      <c r="D60" s="64">
        <v>2324</v>
      </c>
    </row>
    <row r="61" spans="1:4" ht="14" x14ac:dyDescent="0.2">
      <c r="A61" s="63" t="s">
        <v>114</v>
      </c>
      <c r="B61" s="63" t="s">
        <v>132</v>
      </c>
      <c r="C61" s="63" t="s">
        <v>64</v>
      </c>
      <c r="D61" s="64">
        <v>2325</v>
      </c>
    </row>
    <row r="62" spans="1:4" ht="14" x14ac:dyDescent="0.2">
      <c r="A62" s="63" t="s">
        <v>114</v>
      </c>
      <c r="B62" s="63" t="s">
        <v>132</v>
      </c>
      <c r="C62" s="63" t="s">
        <v>64</v>
      </c>
      <c r="D62" s="64">
        <v>2326</v>
      </c>
    </row>
    <row r="63" spans="1:4" ht="14" x14ac:dyDescent="0.2">
      <c r="A63" s="63" t="s">
        <v>114</v>
      </c>
      <c r="B63" s="63" t="s">
        <v>132</v>
      </c>
      <c r="C63" s="63" t="s">
        <v>64</v>
      </c>
      <c r="D63" s="64">
        <v>2327</v>
      </c>
    </row>
    <row r="64" spans="1:4" ht="14" x14ac:dyDescent="0.2">
      <c r="A64" s="63" t="s">
        <v>114</v>
      </c>
      <c r="B64" s="63" t="s">
        <v>132</v>
      </c>
      <c r="C64" s="63" t="s">
        <v>58</v>
      </c>
      <c r="D64" s="64">
        <v>2328</v>
      </c>
    </row>
    <row r="65" spans="1:4" ht="14" x14ac:dyDescent="0.2">
      <c r="A65" s="63" t="s">
        <v>114</v>
      </c>
      <c r="B65" s="63" t="s">
        <v>132</v>
      </c>
      <c r="C65" s="63" t="s">
        <v>64</v>
      </c>
      <c r="D65" s="64">
        <v>2329</v>
      </c>
    </row>
    <row r="66" spans="1:4" ht="14" x14ac:dyDescent="0.2">
      <c r="A66" s="63" t="s">
        <v>114</v>
      </c>
      <c r="B66" s="63" t="s">
        <v>132</v>
      </c>
      <c r="C66" s="63" t="s">
        <v>64</v>
      </c>
      <c r="D66" s="64">
        <v>2330</v>
      </c>
    </row>
    <row r="67" spans="1:4" ht="14" x14ac:dyDescent="0.2">
      <c r="A67" s="63" t="s">
        <v>114</v>
      </c>
      <c r="B67" s="63" t="s">
        <v>132</v>
      </c>
      <c r="C67" s="63" t="s">
        <v>58</v>
      </c>
      <c r="D67" s="64">
        <v>2331</v>
      </c>
    </row>
    <row r="68" spans="1:4" ht="14" x14ac:dyDescent="0.2">
      <c r="A68" s="63" t="s">
        <v>114</v>
      </c>
      <c r="B68" s="63" t="s">
        <v>132</v>
      </c>
      <c r="C68" s="63" t="s">
        <v>64</v>
      </c>
      <c r="D68" s="64">
        <v>2332</v>
      </c>
    </row>
    <row r="69" spans="1:4" ht="14" x14ac:dyDescent="0.2">
      <c r="A69" s="63" t="s">
        <v>114</v>
      </c>
      <c r="B69" s="63" t="s">
        <v>132</v>
      </c>
      <c r="C69" s="63" t="s">
        <v>64</v>
      </c>
      <c r="D69" s="64">
        <v>2333</v>
      </c>
    </row>
    <row r="70" spans="1:4" ht="14" x14ac:dyDescent="0.2">
      <c r="A70" s="63" t="s">
        <v>114</v>
      </c>
      <c r="B70" s="63" t="s">
        <v>132</v>
      </c>
      <c r="C70" s="63" t="s">
        <v>64</v>
      </c>
      <c r="D70" s="64">
        <v>2334</v>
      </c>
    </row>
    <row r="71" spans="1:4" ht="14" x14ac:dyDescent="0.2">
      <c r="A71" s="63" t="s">
        <v>114</v>
      </c>
      <c r="B71" s="63" t="s">
        <v>132</v>
      </c>
      <c r="C71" s="63" t="s">
        <v>64</v>
      </c>
      <c r="D71" s="64">
        <v>2335</v>
      </c>
    </row>
    <row r="72" spans="1:4" ht="14" x14ac:dyDescent="0.2">
      <c r="A72" s="63" t="s">
        <v>114</v>
      </c>
      <c r="B72" s="63" t="s">
        <v>132</v>
      </c>
      <c r="C72" s="63" t="s">
        <v>64</v>
      </c>
      <c r="D72" s="64">
        <v>2336</v>
      </c>
    </row>
    <row r="73" spans="1:4" ht="14" x14ac:dyDescent="0.2">
      <c r="A73" s="63" t="s">
        <v>114</v>
      </c>
      <c r="B73" s="63" t="s">
        <v>131</v>
      </c>
      <c r="C73" s="63" t="s">
        <v>64</v>
      </c>
      <c r="D73" s="64">
        <v>2337</v>
      </c>
    </row>
    <row r="74" spans="1:4" ht="14" x14ac:dyDescent="0.2">
      <c r="A74" s="63" t="s">
        <v>114</v>
      </c>
      <c r="B74" s="63" t="s">
        <v>131</v>
      </c>
      <c r="C74" s="63" t="s">
        <v>64</v>
      </c>
      <c r="D74" s="64">
        <v>2338</v>
      </c>
    </row>
    <row r="75" spans="1:4" ht="14" x14ac:dyDescent="0.2">
      <c r="A75" s="63" t="s">
        <v>114</v>
      </c>
      <c r="B75" s="63" t="s">
        <v>131</v>
      </c>
      <c r="C75" s="63" t="s">
        <v>64</v>
      </c>
      <c r="D75" s="64">
        <v>2339</v>
      </c>
    </row>
    <row r="76" spans="1:4" ht="14" x14ac:dyDescent="0.2">
      <c r="A76" s="63" t="s">
        <v>114</v>
      </c>
      <c r="B76" s="63" t="s">
        <v>131</v>
      </c>
      <c r="C76" s="63" t="s">
        <v>64</v>
      </c>
      <c r="D76" s="64">
        <v>2340</v>
      </c>
    </row>
    <row r="77" spans="1:4" ht="14" x14ac:dyDescent="0.2">
      <c r="A77" s="63" t="s">
        <v>114</v>
      </c>
      <c r="B77" s="63" t="s">
        <v>131</v>
      </c>
      <c r="C77" s="63" t="s">
        <v>64</v>
      </c>
      <c r="D77" s="64">
        <v>2341</v>
      </c>
    </row>
    <row r="78" spans="1:4" ht="14" x14ac:dyDescent="0.2">
      <c r="A78" s="63" t="s">
        <v>114</v>
      </c>
      <c r="B78" s="63" t="s">
        <v>131</v>
      </c>
      <c r="C78" s="63" t="s">
        <v>64</v>
      </c>
      <c r="D78" s="64">
        <v>2342</v>
      </c>
    </row>
    <row r="79" spans="1:4" ht="14" x14ac:dyDescent="0.2">
      <c r="A79" s="63" t="s">
        <v>114</v>
      </c>
      <c r="B79" s="63" t="s">
        <v>131</v>
      </c>
      <c r="C79" s="63" t="s">
        <v>64</v>
      </c>
      <c r="D79" s="64">
        <v>2343</v>
      </c>
    </row>
    <row r="80" spans="1:4" ht="14" x14ac:dyDescent="0.2">
      <c r="A80" s="63" t="s">
        <v>114</v>
      </c>
      <c r="B80" s="63" t="s">
        <v>131</v>
      </c>
      <c r="C80" s="63" t="s">
        <v>64</v>
      </c>
      <c r="D80" s="64">
        <v>2344</v>
      </c>
    </row>
    <row r="81" spans="1:4" ht="14" x14ac:dyDescent="0.2">
      <c r="A81" s="63" t="s">
        <v>114</v>
      </c>
      <c r="B81" s="63" t="s">
        <v>131</v>
      </c>
      <c r="C81" s="63" t="s">
        <v>58</v>
      </c>
      <c r="D81" s="65">
        <v>2345</v>
      </c>
    </row>
    <row r="82" spans="1:4" ht="14" x14ac:dyDescent="0.2">
      <c r="A82" s="63" t="s">
        <v>114</v>
      </c>
      <c r="B82" s="63" t="s">
        <v>131</v>
      </c>
      <c r="C82" s="63" t="s">
        <v>64</v>
      </c>
      <c r="D82" s="64">
        <v>2346</v>
      </c>
    </row>
    <row r="83" spans="1:4" ht="14" x14ac:dyDescent="0.2">
      <c r="A83" s="63" t="s">
        <v>114</v>
      </c>
      <c r="B83" s="63" t="s">
        <v>131</v>
      </c>
      <c r="C83" s="63" t="s">
        <v>64</v>
      </c>
      <c r="D83" s="64">
        <v>2347</v>
      </c>
    </row>
    <row r="84" spans="1:4" ht="14" x14ac:dyDescent="0.2">
      <c r="A84" s="63" t="s">
        <v>114</v>
      </c>
      <c r="B84" s="63" t="s">
        <v>131</v>
      </c>
      <c r="C84" s="63" t="s">
        <v>64</v>
      </c>
      <c r="D84" s="64">
        <v>2348</v>
      </c>
    </row>
    <row r="85" spans="1:4" ht="14" x14ac:dyDescent="0.2">
      <c r="A85" s="63" t="s">
        <v>114</v>
      </c>
      <c r="B85" s="63" t="s">
        <v>131</v>
      </c>
      <c r="C85" s="63" t="s">
        <v>64</v>
      </c>
      <c r="D85" s="64">
        <v>2349</v>
      </c>
    </row>
    <row r="86" spans="1:4" ht="14" x14ac:dyDescent="0.2">
      <c r="A86" s="63" t="s">
        <v>114</v>
      </c>
      <c r="B86" s="63" t="s">
        <v>131</v>
      </c>
      <c r="C86" s="63" t="s">
        <v>64</v>
      </c>
      <c r="D86" s="64">
        <v>2350</v>
      </c>
    </row>
    <row r="87" spans="1:4" ht="14" x14ac:dyDescent="0.2">
      <c r="A87" s="63" t="s">
        <v>114</v>
      </c>
      <c r="B87" s="63" t="s">
        <v>131</v>
      </c>
      <c r="C87" s="63" t="s">
        <v>64</v>
      </c>
      <c r="D87" s="64">
        <v>2351</v>
      </c>
    </row>
    <row r="88" spans="1:4" ht="14" x14ac:dyDescent="0.2">
      <c r="A88" s="63" t="s">
        <v>114</v>
      </c>
      <c r="B88" s="63" t="s">
        <v>130</v>
      </c>
      <c r="C88" s="63" t="s">
        <v>58</v>
      </c>
      <c r="D88" s="64">
        <v>2352</v>
      </c>
    </row>
    <row r="89" spans="1:4" ht="14" x14ac:dyDescent="0.2">
      <c r="A89" s="63" t="s">
        <v>114</v>
      </c>
      <c r="B89" s="63" t="s">
        <v>130</v>
      </c>
      <c r="C89" s="63" t="s">
        <v>58</v>
      </c>
      <c r="D89" s="64">
        <v>2353</v>
      </c>
    </row>
    <row r="90" spans="1:4" ht="14" x14ac:dyDescent="0.2">
      <c r="A90" s="63" t="s">
        <v>114</v>
      </c>
      <c r="B90" s="63" t="s">
        <v>130</v>
      </c>
      <c r="C90" s="63" t="s">
        <v>58</v>
      </c>
      <c r="D90" s="65">
        <v>2354</v>
      </c>
    </row>
    <row r="91" spans="1:4" ht="14" x14ac:dyDescent="0.2">
      <c r="A91" s="63" t="s">
        <v>114</v>
      </c>
      <c r="B91" s="63" t="s">
        <v>130</v>
      </c>
      <c r="C91" s="63" t="s">
        <v>64</v>
      </c>
      <c r="D91" s="64">
        <v>2355</v>
      </c>
    </row>
    <row r="92" spans="1:4" ht="14" x14ac:dyDescent="0.2">
      <c r="A92" s="63" t="s">
        <v>114</v>
      </c>
      <c r="B92" s="63" t="s">
        <v>130</v>
      </c>
      <c r="C92" s="63" t="s">
        <v>64</v>
      </c>
      <c r="D92" s="64">
        <v>2356</v>
      </c>
    </row>
    <row r="93" spans="1:4" ht="14" x14ac:dyDescent="0.2">
      <c r="A93" s="63" t="s">
        <v>114</v>
      </c>
      <c r="B93" s="63" t="s">
        <v>130</v>
      </c>
      <c r="C93" s="63" t="s">
        <v>64</v>
      </c>
      <c r="D93" s="64">
        <v>2357</v>
      </c>
    </row>
    <row r="94" spans="1:4" ht="14" x14ac:dyDescent="0.2">
      <c r="A94" s="63" t="s">
        <v>114</v>
      </c>
      <c r="B94" s="63" t="s">
        <v>130</v>
      </c>
      <c r="C94" s="63" t="s">
        <v>64</v>
      </c>
      <c r="D94" s="64">
        <v>2358</v>
      </c>
    </row>
    <row r="95" spans="1:4" ht="14" x14ac:dyDescent="0.2">
      <c r="A95" s="63" t="s">
        <v>114</v>
      </c>
      <c r="B95" s="63" t="s">
        <v>130</v>
      </c>
      <c r="C95" s="63" t="s">
        <v>64</v>
      </c>
      <c r="D95" s="64">
        <v>2359</v>
      </c>
    </row>
    <row r="96" spans="1:4" ht="14" x14ac:dyDescent="0.2">
      <c r="A96" s="63" t="s">
        <v>114</v>
      </c>
      <c r="B96" s="63" t="s">
        <v>130</v>
      </c>
      <c r="C96" s="63" t="s">
        <v>64</v>
      </c>
      <c r="D96" s="64">
        <v>2360</v>
      </c>
    </row>
    <row r="97" spans="1:4" ht="14" x14ac:dyDescent="0.2">
      <c r="A97" s="63" t="s">
        <v>114</v>
      </c>
      <c r="B97" s="63" t="s">
        <v>130</v>
      </c>
      <c r="C97" s="63" t="s">
        <v>64</v>
      </c>
      <c r="D97" s="64">
        <v>2361</v>
      </c>
    </row>
    <row r="98" spans="1:4" ht="14" x14ac:dyDescent="0.2">
      <c r="A98" s="63" t="s">
        <v>114</v>
      </c>
      <c r="B98" s="63" t="s">
        <v>130</v>
      </c>
      <c r="C98" s="63" t="s">
        <v>64</v>
      </c>
      <c r="D98" s="64">
        <v>2362</v>
      </c>
    </row>
    <row r="99" spans="1:4" ht="14" x14ac:dyDescent="0.2">
      <c r="A99" s="63" t="s">
        <v>114</v>
      </c>
      <c r="B99" s="63" t="s">
        <v>130</v>
      </c>
      <c r="C99" s="63" t="s">
        <v>64</v>
      </c>
      <c r="D99" s="64">
        <v>2363</v>
      </c>
    </row>
    <row r="100" spans="1:4" ht="14" x14ac:dyDescent="0.2">
      <c r="A100" s="63" t="s">
        <v>114</v>
      </c>
      <c r="B100" s="63" t="s">
        <v>130</v>
      </c>
      <c r="C100" s="63" t="s">
        <v>64</v>
      </c>
      <c r="D100" s="64">
        <v>2364</v>
      </c>
    </row>
    <row r="101" spans="1:4" ht="14" x14ac:dyDescent="0.2">
      <c r="A101" s="63" t="s">
        <v>114</v>
      </c>
      <c r="B101" s="63" t="s">
        <v>130</v>
      </c>
      <c r="C101" s="63" t="s">
        <v>64</v>
      </c>
      <c r="D101" s="64">
        <v>2365</v>
      </c>
    </row>
    <row r="102" spans="1:4" ht="14" x14ac:dyDescent="0.2">
      <c r="A102" s="63" t="s">
        <v>114</v>
      </c>
      <c r="B102" s="63" t="s">
        <v>130</v>
      </c>
      <c r="C102" s="63" t="s">
        <v>64</v>
      </c>
      <c r="D102" s="64">
        <v>2366</v>
      </c>
    </row>
    <row r="103" spans="1:4" ht="14" x14ac:dyDescent="0.2">
      <c r="A103" s="63" t="s">
        <v>114</v>
      </c>
      <c r="B103" s="63" t="s">
        <v>130</v>
      </c>
      <c r="C103" s="63" t="s">
        <v>64</v>
      </c>
      <c r="D103" s="64">
        <v>2367</v>
      </c>
    </row>
    <row r="104" spans="1:4" ht="14" x14ac:dyDescent="0.2">
      <c r="A104" s="63" t="s">
        <v>114</v>
      </c>
      <c r="B104" s="63" t="s">
        <v>130</v>
      </c>
      <c r="C104" s="63" t="s">
        <v>64</v>
      </c>
      <c r="D104" s="64">
        <v>2369</v>
      </c>
    </row>
    <row r="105" spans="1:4" ht="14" x14ac:dyDescent="0.2">
      <c r="A105" s="63" t="s">
        <v>114</v>
      </c>
      <c r="B105" s="63" t="s">
        <v>131</v>
      </c>
      <c r="C105" s="63" t="s">
        <v>64</v>
      </c>
      <c r="D105" s="64">
        <v>2370</v>
      </c>
    </row>
    <row r="106" spans="1:4" ht="14" x14ac:dyDescent="0.2">
      <c r="A106" s="63" t="s">
        <v>114</v>
      </c>
      <c r="B106" s="63" t="s">
        <v>131</v>
      </c>
      <c r="C106" s="63" t="s">
        <v>64</v>
      </c>
      <c r="D106" s="64">
        <v>2371</v>
      </c>
    </row>
    <row r="107" spans="1:4" ht="14" x14ac:dyDescent="0.2">
      <c r="A107" s="63" t="s">
        <v>114</v>
      </c>
      <c r="B107" s="63" t="s">
        <v>131</v>
      </c>
      <c r="C107" s="63" t="s">
        <v>64</v>
      </c>
      <c r="D107" s="64">
        <v>2372</v>
      </c>
    </row>
    <row r="108" spans="1:4" ht="14" x14ac:dyDescent="0.2">
      <c r="A108" s="63" t="s">
        <v>114</v>
      </c>
      <c r="B108" s="63" t="s">
        <v>131</v>
      </c>
      <c r="C108" s="63" t="s">
        <v>64</v>
      </c>
      <c r="D108" s="64">
        <v>2373</v>
      </c>
    </row>
    <row r="109" spans="1:4" ht="14" x14ac:dyDescent="0.2">
      <c r="A109" s="63" t="s">
        <v>114</v>
      </c>
      <c r="B109" s="63" t="s">
        <v>132</v>
      </c>
      <c r="C109" s="63" t="s">
        <v>64</v>
      </c>
      <c r="D109" s="64">
        <v>2374</v>
      </c>
    </row>
    <row r="110" spans="1:4" ht="14" x14ac:dyDescent="0.2">
      <c r="A110" s="63" t="s">
        <v>114</v>
      </c>
      <c r="B110" s="63" t="s">
        <v>131</v>
      </c>
      <c r="C110" s="63" t="s">
        <v>64</v>
      </c>
      <c r="D110" s="64">
        <v>2375</v>
      </c>
    </row>
    <row r="111" spans="1:4" ht="14" x14ac:dyDescent="0.2">
      <c r="A111" s="63" t="s">
        <v>114</v>
      </c>
      <c r="B111" s="63" t="s">
        <v>130</v>
      </c>
      <c r="C111" s="63" t="s">
        <v>58</v>
      </c>
      <c r="D111" s="64">
        <v>2376</v>
      </c>
    </row>
    <row r="112" spans="1:4" ht="14" x14ac:dyDescent="0.2">
      <c r="A112" s="63" t="s">
        <v>114</v>
      </c>
      <c r="B112" s="15" t="s">
        <v>136</v>
      </c>
      <c r="C112" s="63" t="s">
        <v>58</v>
      </c>
      <c r="D112" s="64">
        <v>2377</v>
      </c>
    </row>
    <row r="113" spans="1:5" ht="14" x14ac:dyDescent="0.2">
      <c r="A113" s="63" t="s">
        <v>114</v>
      </c>
      <c r="B113" s="15" t="s">
        <v>136</v>
      </c>
      <c r="C113" s="63" t="s">
        <v>64</v>
      </c>
      <c r="D113" s="64">
        <v>2378</v>
      </c>
    </row>
    <row r="114" spans="1:5" ht="14" x14ac:dyDescent="0.2">
      <c r="A114" s="63" t="s">
        <v>114</v>
      </c>
      <c r="B114" s="15" t="s">
        <v>136</v>
      </c>
      <c r="C114" s="63" t="s">
        <v>64</v>
      </c>
      <c r="D114" s="64">
        <v>2379</v>
      </c>
    </row>
    <row r="115" spans="1:5" ht="14" x14ac:dyDescent="0.2">
      <c r="A115" s="63" t="s">
        <v>114</v>
      </c>
      <c r="B115" s="15" t="s">
        <v>136</v>
      </c>
      <c r="C115" s="63" t="s">
        <v>58</v>
      </c>
      <c r="D115" s="64">
        <v>2380</v>
      </c>
    </row>
    <row r="116" spans="1:5" ht="14" x14ac:dyDescent="0.2">
      <c r="A116" s="63" t="s">
        <v>114</v>
      </c>
      <c r="B116" s="63" t="s">
        <v>133</v>
      </c>
      <c r="C116" s="63" t="s">
        <v>64</v>
      </c>
      <c r="D116" s="64">
        <v>2381</v>
      </c>
    </row>
    <row r="117" spans="1:5" ht="14" x14ac:dyDescent="0.2">
      <c r="A117" s="63" t="s">
        <v>114</v>
      </c>
      <c r="B117" s="63" t="s">
        <v>133</v>
      </c>
      <c r="C117" s="63" t="s">
        <v>64</v>
      </c>
      <c r="D117" s="64">
        <v>2382</v>
      </c>
    </row>
    <row r="118" spans="1:5" ht="14" x14ac:dyDescent="0.2">
      <c r="A118" s="63" t="s">
        <v>114</v>
      </c>
      <c r="B118" s="63" t="s">
        <v>133</v>
      </c>
      <c r="C118" s="63" t="s">
        <v>64</v>
      </c>
      <c r="D118" s="66">
        <v>2383</v>
      </c>
    </row>
    <row r="119" spans="1:5" ht="14" x14ac:dyDescent="0.2">
      <c r="A119" s="63" t="s">
        <v>114</v>
      </c>
      <c r="B119" s="63" t="s">
        <v>133</v>
      </c>
      <c r="C119" s="63" t="s">
        <v>64</v>
      </c>
      <c r="D119" s="66">
        <v>2384</v>
      </c>
    </row>
    <row r="120" spans="1:5" ht="14" x14ac:dyDescent="0.2">
      <c r="A120" s="67" t="s">
        <v>139</v>
      </c>
      <c r="B120" s="67" t="s">
        <v>139</v>
      </c>
      <c r="C120" s="63" t="s">
        <v>142</v>
      </c>
      <c r="D120" s="67" t="s">
        <v>144</v>
      </c>
    </row>
    <row r="121" spans="1:5" ht="14" x14ac:dyDescent="0.2">
      <c r="A121" s="67" t="s">
        <v>139</v>
      </c>
      <c r="B121" s="67" t="s">
        <v>139</v>
      </c>
      <c r="C121" s="63" t="s">
        <v>137</v>
      </c>
      <c r="D121" s="67" t="s">
        <v>140</v>
      </c>
    </row>
    <row r="122" spans="1:5" ht="14" x14ac:dyDescent="0.2">
      <c r="A122" s="67" t="s">
        <v>134</v>
      </c>
      <c r="B122" s="67" t="s">
        <v>135</v>
      </c>
      <c r="C122" s="63" t="s">
        <v>142</v>
      </c>
      <c r="D122" s="67" t="s">
        <v>145</v>
      </c>
    </row>
    <row r="123" spans="1:5" ht="14" x14ac:dyDescent="0.2">
      <c r="A123" s="67" t="s">
        <v>134</v>
      </c>
      <c r="B123" s="67" t="s">
        <v>135</v>
      </c>
      <c r="C123" s="63" t="s">
        <v>137</v>
      </c>
      <c r="D123" s="67" t="s">
        <v>141</v>
      </c>
    </row>
    <row r="124" spans="1:5" ht="14" x14ac:dyDescent="0.2">
      <c r="A124" s="67" t="s">
        <v>114</v>
      </c>
      <c r="B124" s="67" t="s">
        <v>136</v>
      </c>
      <c r="C124" s="63" t="s">
        <v>142</v>
      </c>
      <c r="D124" s="67" t="s">
        <v>143</v>
      </c>
    </row>
    <row r="125" spans="1:5" ht="14" x14ac:dyDescent="0.2">
      <c r="A125" s="67" t="s">
        <v>114</v>
      </c>
      <c r="B125" s="67" t="s">
        <v>136</v>
      </c>
      <c r="C125" s="63" t="s">
        <v>137</v>
      </c>
      <c r="D125" s="67" t="s">
        <v>138</v>
      </c>
    </row>
    <row r="126" spans="1:5" ht="15" customHeight="1" x14ac:dyDescent="0.2">
      <c r="A126" s="67" t="s">
        <v>347</v>
      </c>
      <c r="B126" s="67" t="s">
        <v>347</v>
      </c>
      <c r="C126" s="15" t="s">
        <v>347</v>
      </c>
      <c r="D126" s="66">
        <v>2084</v>
      </c>
      <c r="E126" t="s">
        <v>343</v>
      </c>
    </row>
  </sheetData>
  <sortState xmlns:xlrd2="http://schemas.microsoft.com/office/spreadsheetml/2017/richdata2" ref="A2:D125">
    <sortCondition ref="D2:D125"/>
  </sortState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K314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  <col min="7" max="7" width="20.19921875" customWidth="1"/>
    <col min="59" max="59" width="14.796875" customWidth="1"/>
  </cols>
  <sheetData>
    <row r="1" spans="1:63" x14ac:dyDescent="0.2">
      <c r="C1" s="74" t="s">
        <v>207</v>
      </c>
      <c r="D1" s="1"/>
      <c r="E1" s="1"/>
    </row>
    <row r="3" spans="1:63" x14ac:dyDescent="0.2">
      <c r="C3" s="12" t="s">
        <v>1</v>
      </c>
      <c r="D3" s="38" t="s">
        <v>208</v>
      </c>
      <c r="E3" s="12"/>
    </row>
    <row r="4" spans="1:63" x14ac:dyDescent="0.2">
      <c r="C4" s="12" t="s">
        <v>3</v>
      </c>
      <c r="D4" s="77">
        <v>44678</v>
      </c>
    </row>
    <row r="6" spans="1:63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  <c r="BI6" s="9"/>
      <c r="BJ6" s="9"/>
      <c r="BK6" s="9"/>
    </row>
    <row r="7" spans="1:63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</row>
    <row r="8" spans="1:63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</row>
    <row r="9" spans="1:63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</row>
    <row r="10" spans="1:63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</row>
    <row r="11" spans="1:63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3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</row>
    <row r="13" spans="1:63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</row>
    <row r="14" spans="1:63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3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</row>
    <row r="16" spans="1:63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</row>
    <row r="17" spans="1:42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42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</row>
    <row r="19" spans="1:42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</row>
    <row r="20" spans="1:42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42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</row>
    <row r="22" spans="1:42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</row>
    <row r="23" spans="1:42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</row>
    <row r="24" spans="1:42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G24" s="57">
        <v>10</v>
      </c>
      <c r="I24" s="57">
        <v>1.3819999999999999</v>
      </c>
      <c r="L24" s="57">
        <v>1.41</v>
      </c>
      <c r="O24" s="57">
        <v>1.4139999999999999</v>
      </c>
      <c r="AJ24" s="57">
        <v>3</v>
      </c>
      <c r="AM24" s="57">
        <v>3.25</v>
      </c>
      <c r="AP24" s="57">
        <v>3.3</v>
      </c>
    </row>
    <row r="25" spans="1:42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</row>
    <row r="26" spans="1:42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42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G27" s="57">
        <v>10</v>
      </c>
      <c r="I27" s="57">
        <v>1.508</v>
      </c>
      <c r="L27" s="57">
        <v>1.5840000000000001</v>
      </c>
      <c r="AJ27" s="57">
        <v>2.6619999999999999</v>
      </c>
      <c r="AM27" s="57">
        <v>2.3839999999999999</v>
      </c>
      <c r="AP27" s="57">
        <v>3.0920000000000001</v>
      </c>
    </row>
    <row r="28" spans="1:42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42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42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G30" s="57">
        <v>10</v>
      </c>
      <c r="I30" s="57">
        <v>1.512</v>
      </c>
      <c r="L30" s="57">
        <v>1.421</v>
      </c>
      <c r="O30" s="57">
        <v>1.583</v>
      </c>
      <c r="AJ30" s="57">
        <v>3.3</v>
      </c>
      <c r="AM30" s="57">
        <v>3.35</v>
      </c>
      <c r="AP30" s="57">
        <v>3.3</v>
      </c>
    </row>
    <row r="31" spans="1:42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</row>
    <row r="32" spans="1:42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</row>
    <row r="33" spans="1:60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</row>
    <row r="34" spans="1:60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</row>
    <row r="35" spans="1:60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</row>
    <row r="36" spans="1:60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</row>
    <row r="37" spans="1:60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</row>
    <row r="38" spans="1:60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</row>
    <row r="39" spans="1:60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</row>
    <row r="40" spans="1:60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</row>
    <row r="41" spans="1:60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</row>
    <row r="42" spans="1:60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G42" s="57">
        <v>10</v>
      </c>
      <c r="I42" s="57">
        <v>1.228</v>
      </c>
      <c r="L42" s="57">
        <v>1.0980000000000001</v>
      </c>
      <c r="O42" s="57">
        <v>1.1379999999999999</v>
      </c>
      <c r="AJ42" s="57">
        <v>2.782</v>
      </c>
      <c r="AM42" s="57">
        <v>2.6339999999999999</v>
      </c>
      <c r="AP42" s="57">
        <v>2.7480000000000002</v>
      </c>
    </row>
    <row r="43" spans="1:60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60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</row>
    <row r="45" spans="1:60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60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</row>
    <row r="47" spans="1:60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G47" s="57">
        <v>10</v>
      </c>
      <c r="I47" s="57">
        <v>1.9710000000000001</v>
      </c>
      <c r="L47" s="57">
        <v>2.0219999999999998</v>
      </c>
      <c r="O47" s="57">
        <v>2.008</v>
      </c>
      <c r="AJ47" s="57">
        <v>2.2069999999999999</v>
      </c>
      <c r="AM47" s="57">
        <v>2.29</v>
      </c>
      <c r="AP47" s="57">
        <v>2.1360000000000001</v>
      </c>
      <c r="BH47" s="57" t="s">
        <v>306</v>
      </c>
    </row>
    <row r="48" spans="1:60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G48" s="57">
        <v>10</v>
      </c>
      <c r="I48" s="57">
        <v>1.171</v>
      </c>
      <c r="L48" s="57">
        <v>1.468</v>
      </c>
      <c r="O48" s="57">
        <v>1.4430000000000001</v>
      </c>
      <c r="AJ48" s="57">
        <v>2.5539999999999998</v>
      </c>
      <c r="AM48" s="57">
        <v>2.4300000000000002</v>
      </c>
      <c r="AP48" s="57">
        <v>2.1429999999999998</v>
      </c>
      <c r="AS48" s="57">
        <v>2.2040000000000002</v>
      </c>
    </row>
    <row r="49" spans="1:5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</row>
    <row r="50" spans="1:5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</row>
    <row r="51" spans="1:5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</row>
    <row r="52" spans="1:5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</row>
    <row r="53" spans="1:5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</row>
    <row r="54" spans="1:5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</row>
    <row r="55" spans="1:5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</row>
    <row r="56" spans="1:5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</row>
    <row r="57" spans="1:5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</row>
    <row r="58" spans="1:5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</row>
    <row r="59" spans="1:5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</row>
    <row r="60" spans="1:5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</row>
    <row r="61" spans="1:5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</row>
    <row r="62" spans="1:5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</row>
    <row r="63" spans="1:5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</row>
    <row r="64" spans="1:5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</row>
    <row r="65" spans="1:5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</row>
    <row r="66" spans="1:5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</row>
    <row r="67" spans="1:5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</row>
    <row r="68" spans="1:5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</row>
    <row r="69" spans="1:5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</row>
    <row r="70" spans="1:5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</row>
    <row r="71" spans="1:5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</row>
    <row r="72" spans="1:5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</row>
    <row r="73" spans="1:5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</row>
    <row r="74" spans="1:5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</row>
    <row r="75" spans="1:5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</row>
    <row r="76" spans="1:5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</row>
    <row r="77" spans="1:5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</row>
    <row r="78" spans="1:5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</row>
    <row r="79" spans="1:5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</row>
    <row r="80" spans="1:5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</row>
    <row r="81" spans="1:5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5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</row>
    <row r="83" spans="1:5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</row>
    <row r="84" spans="1:5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</row>
    <row r="85" spans="1:5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</row>
    <row r="86" spans="1:5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</row>
    <row r="87" spans="1:5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</row>
    <row r="88" spans="1:5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</row>
    <row r="89" spans="1:5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</row>
    <row r="90" spans="1:5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</row>
    <row r="91" spans="1:5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</row>
    <row r="92" spans="1:5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</row>
    <row r="93" spans="1:5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</row>
    <row r="94" spans="1:5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</row>
    <row r="95" spans="1:5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5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5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5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5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5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5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5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5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5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5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5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5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</row>
    <row r="108" spans="1:5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5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5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</row>
    <row r="111" spans="1:5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</row>
    <row r="112" spans="1:5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</row>
    <row r="113" spans="1:60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  <c r="I113" s="57">
        <v>0.91800000000000004</v>
      </c>
      <c r="L113" s="57">
        <v>0.79900000000000004</v>
      </c>
      <c r="O113" s="57">
        <v>1.0369999999999999</v>
      </c>
      <c r="R113" s="57">
        <v>0.98399999999999999</v>
      </c>
      <c r="AG113" s="57">
        <v>1.762</v>
      </c>
      <c r="AH113" s="57">
        <v>0.9</v>
      </c>
      <c r="AJ113" s="57">
        <v>2.5179999999999998</v>
      </c>
      <c r="AM113" s="57">
        <v>2.6</v>
      </c>
      <c r="AP113" s="57">
        <v>2.7440000000000002</v>
      </c>
      <c r="BE113" s="57">
        <v>1.0620000000000001</v>
      </c>
      <c r="BF113" s="57">
        <v>0.56200000000000006</v>
      </c>
    </row>
    <row r="114" spans="1:60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  <c r="I114" s="57">
        <v>0.91400000000000003</v>
      </c>
      <c r="L114" s="57">
        <v>0.84699999999999998</v>
      </c>
      <c r="O114" s="57">
        <v>0.99199999999999999</v>
      </c>
      <c r="AG114" s="57">
        <v>4.0759999999999996</v>
      </c>
      <c r="AH114" s="57">
        <v>2.0329999999999999</v>
      </c>
      <c r="AJ114" s="57">
        <v>2.5030000000000001</v>
      </c>
      <c r="AM114" s="57">
        <v>2.867</v>
      </c>
      <c r="AP114" s="57">
        <v>2.8290000000000002</v>
      </c>
      <c r="BE114" s="57">
        <v>1.885</v>
      </c>
      <c r="BF114" s="57">
        <v>0.98399999999999999</v>
      </c>
    </row>
    <row r="115" spans="1:60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  <c r="I115" s="57">
        <v>0.96799999999999997</v>
      </c>
      <c r="L115" s="57">
        <v>1.018</v>
      </c>
      <c r="O115" s="57">
        <v>0.98799999999999999</v>
      </c>
      <c r="AG115" s="57">
        <v>2.819</v>
      </c>
      <c r="AH115" s="57">
        <v>1.454</v>
      </c>
      <c r="AJ115" s="57">
        <v>2.6379999999999999</v>
      </c>
      <c r="AM115" s="57">
        <v>2.778</v>
      </c>
      <c r="AP115" s="57">
        <v>2.7349999999999999</v>
      </c>
    </row>
    <row r="116" spans="1:60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  <c r="I116" s="57">
        <v>1.018</v>
      </c>
      <c r="L116" s="57">
        <v>0.83599999999999997</v>
      </c>
      <c r="O116" s="57">
        <v>1.056</v>
      </c>
      <c r="R116" s="57">
        <v>1.046</v>
      </c>
      <c r="AG116" s="57">
        <v>2.169</v>
      </c>
      <c r="AH116" s="57">
        <v>1.1379999999999999</v>
      </c>
      <c r="AJ116" s="57">
        <v>2.2610000000000001</v>
      </c>
      <c r="AM116" s="57">
        <v>2.6640000000000001</v>
      </c>
      <c r="AP116" s="57">
        <v>2.3540000000000001</v>
      </c>
      <c r="BE116" s="57">
        <v>1.6140000000000001</v>
      </c>
      <c r="BF116" s="57">
        <v>0.86799999999999999</v>
      </c>
    </row>
    <row r="117" spans="1:60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AG117" s="57">
        <v>0.751</v>
      </c>
      <c r="AH117" s="57">
        <v>0.33600000000000002</v>
      </c>
    </row>
    <row r="118" spans="1:60" x14ac:dyDescent="0.2">
      <c r="A118" s="57" t="s">
        <v>139</v>
      </c>
      <c r="B118" s="76" t="s">
        <v>139</v>
      </c>
      <c r="C118" s="57" t="s">
        <v>139</v>
      </c>
      <c r="D118" s="54" t="s">
        <v>137</v>
      </c>
    </row>
    <row r="119" spans="1:60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I119" s="57">
        <v>2.3620000000000001</v>
      </c>
      <c r="L119" s="57">
        <v>2.339</v>
      </c>
      <c r="O119" s="57">
        <v>2.681</v>
      </c>
      <c r="R119" s="57">
        <v>2.4580000000000002</v>
      </c>
      <c r="AJ119" s="57">
        <v>3.2410000000000001</v>
      </c>
      <c r="AM119" s="57">
        <v>3.2250000000000001</v>
      </c>
      <c r="AP119" s="57">
        <v>2.8410000000000002</v>
      </c>
      <c r="AS119" s="57">
        <v>3.1240000000000001</v>
      </c>
      <c r="AV119" s="57">
        <v>2.694</v>
      </c>
      <c r="AY119" s="57">
        <v>3.0009999999999999</v>
      </c>
    </row>
    <row r="120" spans="1:60" x14ac:dyDescent="0.2">
      <c r="A120" s="57" t="s">
        <v>114</v>
      </c>
      <c r="B120" s="76" t="s">
        <v>136</v>
      </c>
      <c r="C120" s="57" t="s">
        <v>261</v>
      </c>
      <c r="D120" s="54" t="s">
        <v>142</v>
      </c>
    </row>
    <row r="121" spans="1:60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I121" s="57">
        <v>2.6379999999999999</v>
      </c>
      <c r="L121" s="57">
        <v>2.5529999999999999</v>
      </c>
      <c r="O121" s="57">
        <v>2.2869999999999999</v>
      </c>
      <c r="R121" s="57">
        <v>2.5840000000000001</v>
      </c>
      <c r="U121" s="57">
        <v>2.5680000000000001</v>
      </c>
      <c r="X121" s="57">
        <v>2.661</v>
      </c>
      <c r="AG121" s="57">
        <v>2.3319999999999999</v>
      </c>
      <c r="AH121" s="57">
        <v>1.0249999999999999</v>
      </c>
    </row>
    <row r="122" spans="1:60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I122" s="57">
        <v>1.871</v>
      </c>
      <c r="L122" s="57">
        <v>2.8479999999999999</v>
      </c>
      <c r="O122" s="57">
        <v>2.718</v>
      </c>
      <c r="R122" s="57">
        <v>2.7080000000000002</v>
      </c>
      <c r="U122" s="57">
        <v>2.7690000000000001</v>
      </c>
      <c r="X122" s="57">
        <v>2.4889999999999999</v>
      </c>
      <c r="AG122" s="57">
        <v>1.329</v>
      </c>
      <c r="AH122" s="57">
        <v>0.59699999999999998</v>
      </c>
      <c r="AJ122" s="57">
        <v>3.7709999999999999</v>
      </c>
      <c r="AM122" s="57">
        <v>3.6539999999999999</v>
      </c>
      <c r="AP122" s="57">
        <v>3.5720000000000001</v>
      </c>
      <c r="AS122" s="57">
        <v>3.613</v>
      </c>
      <c r="AV122" s="57">
        <v>3.5529999999999999</v>
      </c>
      <c r="AY122" s="57">
        <v>3.6110000000000002</v>
      </c>
    </row>
    <row r="123" spans="1:60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  <c r="I123" s="57">
        <v>0.77800000000000002</v>
      </c>
      <c r="L123" s="57">
        <v>0.77900000000000003</v>
      </c>
      <c r="AG123" s="57">
        <v>3.2970000000000002</v>
      </c>
      <c r="AH123" s="57">
        <v>1.6930000000000001</v>
      </c>
      <c r="AJ123" s="57">
        <v>1.843</v>
      </c>
      <c r="AM123" s="57">
        <v>2.0339999999999998</v>
      </c>
      <c r="AP123" s="57">
        <v>1.75</v>
      </c>
      <c r="BE123" s="57">
        <v>2.0579999999999998</v>
      </c>
      <c r="BF123" s="57">
        <v>0.79800000000000004</v>
      </c>
    </row>
    <row r="124" spans="1:60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  <c r="I124" s="57">
        <v>1.508</v>
      </c>
      <c r="L124" s="57">
        <v>1.4590000000000001</v>
      </c>
      <c r="O124" s="57">
        <v>1.028</v>
      </c>
      <c r="R124" s="57">
        <v>1.272</v>
      </c>
      <c r="U124" s="57">
        <v>1.038</v>
      </c>
      <c r="AG124" s="57">
        <v>1.915</v>
      </c>
      <c r="AH124" s="57">
        <v>1.0249999999999999</v>
      </c>
      <c r="AJ124" s="57">
        <v>1.2230000000000001</v>
      </c>
      <c r="AM124" s="57">
        <v>2.1230000000000002</v>
      </c>
      <c r="AP124" s="57">
        <v>2.883</v>
      </c>
      <c r="AS124" s="57">
        <v>1.994</v>
      </c>
      <c r="AV124" s="57">
        <v>2.4449999999999998</v>
      </c>
      <c r="AY124" s="57">
        <v>2.073</v>
      </c>
      <c r="BH124" s="87" t="s">
        <v>307</v>
      </c>
    </row>
    <row r="125" spans="1:60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  <c r="I125" s="57">
        <v>0.78800000000000003</v>
      </c>
      <c r="L125" s="57">
        <v>0.25800000000000001</v>
      </c>
      <c r="O125" s="57">
        <v>0.76800000000000002</v>
      </c>
      <c r="R125" s="57">
        <v>0.38400000000000001</v>
      </c>
      <c r="U125" s="57">
        <v>0.69799999999999995</v>
      </c>
      <c r="AG125" s="57">
        <v>5.8479999999999999</v>
      </c>
      <c r="AH125" s="57">
        <v>2.806</v>
      </c>
      <c r="AJ125" s="57">
        <v>2.1829999999999998</v>
      </c>
      <c r="AM125" s="57">
        <v>1.978</v>
      </c>
      <c r="AP125" s="57">
        <v>1.901</v>
      </c>
      <c r="BE125" s="57">
        <v>1.8120000000000001</v>
      </c>
      <c r="BF125" s="57">
        <v>0.72899999999999998</v>
      </c>
      <c r="BH125" s="57" t="s">
        <v>308</v>
      </c>
    </row>
    <row r="126" spans="1:60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  <c r="I126" s="57">
        <v>1.34</v>
      </c>
      <c r="L126" s="57">
        <v>1.032</v>
      </c>
      <c r="O126" s="57">
        <v>1.198</v>
      </c>
      <c r="R126" s="57">
        <v>1.1519999999999999</v>
      </c>
      <c r="U126" s="57">
        <v>1.2410000000000001</v>
      </c>
      <c r="AG126" s="57">
        <v>2.8860000000000001</v>
      </c>
      <c r="AH126" s="57">
        <v>1.353</v>
      </c>
      <c r="AJ126" s="57">
        <v>2.2309999999999999</v>
      </c>
      <c r="AM126" s="57">
        <v>2.2570000000000001</v>
      </c>
      <c r="BE126" s="57">
        <v>1.6379999999999999</v>
      </c>
      <c r="BF126" s="57">
        <v>0.79200000000000004</v>
      </c>
    </row>
    <row r="127" spans="1:60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  <c r="I127" s="57">
        <v>0.878</v>
      </c>
      <c r="L127" s="57">
        <v>0.78900000000000003</v>
      </c>
      <c r="O127" s="57">
        <v>0.84699999999999998</v>
      </c>
      <c r="AG127" s="57">
        <v>3.6480000000000001</v>
      </c>
      <c r="AH127" s="57">
        <v>1.91</v>
      </c>
      <c r="AJ127" s="57">
        <v>0.93</v>
      </c>
      <c r="AM127" s="57">
        <v>1.3</v>
      </c>
      <c r="AP127" s="57">
        <v>1.78</v>
      </c>
      <c r="AS127" s="57">
        <v>1.8</v>
      </c>
      <c r="BE127" s="57">
        <v>1.03</v>
      </c>
      <c r="BF127" s="57">
        <v>0.38300000000000001</v>
      </c>
      <c r="BH127" s="57" t="s">
        <v>309</v>
      </c>
    </row>
    <row r="128" spans="1:60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  <c r="I128" s="57">
        <v>0.81799999999999995</v>
      </c>
      <c r="L128" s="57">
        <v>0.85299999999999998</v>
      </c>
      <c r="O128" s="57">
        <v>0.85599999999999998</v>
      </c>
      <c r="AJ128" s="57">
        <v>2.504</v>
      </c>
      <c r="AM128" s="57">
        <v>1.831</v>
      </c>
      <c r="AP128" s="57">
        <v>1.9219999999999999</v>
      </c>
      <c r="BE128" s="57">
        <v>1.264</v>
      </c>
      <c r="BF128" s="57">
        <v>0.61899999999999999</v>
      </c>
    </row>
    <row r="129" spans="1:63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  <c r="AJ129" s="57">
        <v>2.34</v>
      </c>
      <c r="AM129" s="57">
        <v>2.2530000000000001</v>
      </c>
      <c r="AP129" s="57">
        <v>2.3889999999999998</v>
      </c>
      <c r="BE129" s="57">
        <v>2.762</v>
      </c>
      <c r="BF129" s="57">
        <v>1.3520000000000001</v>
      </c>
    </row>
    <row r="130" spans="1:63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  <c r="I130" s="57">
        <v>0.92800000000000005</v>
      </c>
      <c r="L130" s="57">
        <v>0.748</v>
      </c>
      <c r="O130" s="57">
        <v>0.88200000000000001</v>
      </c>
      <c r="AG130" s="57">
        <v>1.1930000000000001</v>
      </c>
      <c r="AH130" s="57">
        <v>0.55100000000000005</v>
      </c>
      <c r="AJ130" s="57">
        <v>1.9650000000000001</v>
      </c>
      <c r="AM130" s="57">
        <v>1.8740000000000001</v>
      </c>
      <c r="AP130" s="57">
        <v>2.1440000000000001</v>
      </c>
      <c r="BE130" s="57">
        <v>1.5269999999999999</v>
      </c>
      <c r="BF130" s="57">
        <v>0.75700000000000001</v>
      </c>
    </row>
    <row r="131" spans="1:63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  <c r="I131" s="57">
        <v>1.0489999999999999</v>
      </c>
      <c r="L131" s="57">
        <v>1.1080000000000001</v>
      </c>
      <c r="O131" s="57">
        <v>0.97799999999999998</v>
      </c>
      <c r="R131" s="57">
        <v>1.0409999999999999</v>
      </c>
      <c r="AG131" s="57">
        <v>3.145</v>
      </c>
      <c r="AH131" s="57">
        <v>1.496</v>
      </c>
      <c r="AJ131" s="57">
        <v>2.1880000000000002</v>
      </c>
      <c r="AM131" s="57">
        <v>2.2330000000000001</v>
      </c>
      <c r="AP131" s="57">
        <v>2.2109999999999999</v>
      </c>
      <c r="BE131" s="57">
        <v>1.369</v>
      </c>
      <c r="BF131" s="57">
        <v>0.67500000000000004</v>
      </c>
      <c r="BH131" s="57" t="s">
        <v>310</v>
      </c>
    </row>
    <row r="132" spans="1:63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  <c r="I132" s="57">
        <v>1.038</v>
      </c>
      <c r="L132" s="57">
        <v>0.90800000000000003</v>
      </c>
      <c r="O132" s="57">
        <v>0.90200000000000002</v>
      </c>
      <c r="R132" s="57">
        <v>0.91200000000000003</v>
      </c>
      <c r="AG132" s="57">
        <v>1.5369999999999999</v>
      </c>
      <c r="AH132" s="57">
        <v>0.76300000000000001</v>
      </c>
      <c r="AJ132" s="57">
        <v>1.681</v>
      </c>
      <c r="AM132" s="57">
        <v>1.7889999999999999</v>
      </c>
      <c r="AP132" s="57">
        <v>1.873</v>
      </c>
      <c r="BE132" s="57">
        <v>1.27</v>
      </c>
      <c r="BF132" s="57">
        <v>0.66200000000000003</v>
      </c>
    </row>
    <row r="133" spans="1:63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  <c r="I133" s="57">
        <v>0.86299999999999999</v>
      </c>
      <c r="L133" s="57">
        <v>0.93100000000000005</v>
      </c>
      <c r="O133" s="57">
        <v>0.85</v>
      </c>
      <c r="AG133" s="57">
        <v>2.5750000000000002</v>
      </c>
      <c r="AH133" s="57">
        <v>1.288</v>
      </c>
      <c r="AJ133" s="57">
        <v>2.1949999999999998</v>
      </c>
      <c r="AM133" s="57">
        <v>2.0430000000000001</v>
      </c>
      <c r="AP133" s="57">
        <v>2.1890000000000001</v>
      </c>
      <c r="BE133" s="57">
        <v>1.075</v>
      </c>
      <c r="BF133" s="57">
        <v>0.55900000000000005</v>
      </c>
    </row>
    <row r="134" spans="1:63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  <c r="I134" s="57">
        <v>0.91300000000000003</v>
      </c>
      <c r="L134" s="57">
        <v>0.871</v>
      </c>
      <c r="O134" s="57">
        <v>0.878</v>
      </c>
      <c r="AG134" s="57">
        <v>4.7779999999999996</v>
      </c>
      <c r="AH134" s="57">
        <v>2.58</v>
      </c>
      <c r="AJ134" s="57">
        <v>1.8839999999999999</v>
      </c>
      <c r="AM134" s="57">
        <v>1.673</v>
      </c>
      <c r="AP134" s="57">
        <v>2.2709999999999999</v>
      </c>
      <c r="BE134" s="86"/>
      <c r="BF134" s="86"/>
      <c r="BH134" s="87" t="s">
        <v>311</v>
      </c>
    </row>
    <row r="135" spans="1:63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  <c r="I135" s="57">
        <v>0.81799999999999995</v>
      </c>
      <c r="L135" s="57">
        <v>0.748</v>
      </c>
      <c r="O135" s="57">
        <v>0.753</v>
      </c>
      <c r="AG135" s="57">
        <v>5.0229999999999997</v>
      </c>
      <c r="AH135" s="57">
        <v>2.613</v>
      </c>
      <c r="AJ135" s="57">
        <v>2.6309999999999998</v>
      </c>
      <c r="AM135" s="57">
        <v>2.4350000000000001</v>
      </c>
      <c r="AP135" s="57">
        <v>2.2170000000000001</v>
      </c>
      <c r="BE135" s="57">
        <v>1.5009999999999999</v>
      </c>
      <c r="BF135" s="57">
        <v>0.78700000000000003</v>
      </c>
    </row>
    <row r="136" spans="1:63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  <c r="I136" s="57">
        <v>1.0049999999999999</v>
      </c>
      <c r="L136" s="57">
        <v>0.95799999999999996</v>
      </c>
      <c r="O136" s="57">
        <v>1.0880000000000001</v>
      </c>
      <c r="AJ136" s="57">
        <v>1.958</v>
      </c>
      <c r="AM136" s="57">
        <v>1.881</v>
      </c>
      <c r="AP136" s="57">
        <v>1.774</v>
      </c>
      <c r="BE136" s="57">
        <v>1.8620000000000001</v>
      </c>
      <c r="BF136" s="57">
        <v>0.96299999999999997</v>
      </c>
    </row>
    <row r="137" spans="1:63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  <c r="I137" s="57">
        <v>1.0209999999999999</v>
      </c>
      <c r="L137" s="57">
        <v>1.04</v>
      </c>
      <c r="AG137" s="57">
        <v>1.3560000000000001</v>
      </c>
      <c r="AH137" s="57">
        <v>0.66400000000000003</v>
      </c>
      <c r="AJ137" s="57">
        <v>1.4159999999999999</v>
      </c>
      <c r="AM137" s="57">
        <v>1.325</v>
      </c>
      <c r="AP137" s="57">
        <v>1.5429999999999999</v>
      </c>
      <c r="BE137" s="57">
        <v>1.5549999999999999</v>
      </c>
      <c r="BF137" s="57">
        <v>0.80600000000000005</v>
      </c>
    </row>
    <row r="138" spans="1:63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  <c r="I138" s="57">
        <v>1.2</v>
      </c>
      <c r="L138" s="57">
        <v>1.218</v>
      </c>
      <c r="AG138" s="57">
        <v>1.679</v>
      </c>
      <c r="AH138" s="57">
        <v>0.86399999999999999</v>
      </c>
      <c r="AJ138" s="57">
        <v>3.0510000000000002</v>
      </c>
      <c r="AM138" s="57">
        <v>2.8420000000000001</v>
      </c>
      <c r="AP138" s="57">
        <v>3.0539999999999998</v>
      </c>
      <c r="BE138" s="57">
        <v>1.7450000000000001</v>
      </c>
      <c r="BF138" s="57">
        <v>0.94</v>
      </c>
    </row>
    <row r="139" spans="1:63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  <c r="I139" s="57">
        <v>1.302</v>
      </c>
      <c r="L139" s="57">
        <v>1.234</v>
      </c>
      <c r="O139" s="57">
        <v>1.3080000000000001</v>
      </c>
      <c r="AG139" s="57">
        <v>1.867</v>
      </c>
      <c r="AH139" s="57">
        <v>0.93600000000000005</v>
      </c>
      <c r="AJ139" s="57">
        <v>2.5179999999999998</v>
      </c>
      <c r="AM139" s="57">
        <v>2.7349999999999999</v>
      </c>
      <c r="AP139" s="57">
        <v>2.7429999999999999</v>
      </c>
      <c r="BE139" s="57">
        <v>0.94899999999999995</v>
      </c>
      <c r="BF139" s="57">
        <v>0.505</v>
      </c>
    </row>
    <row r="140" spans="1:63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  <c r="I140" s="57">
        <v>1.3340000000000001</v>
      </c>
      <c r="L140" s="57">
        <v>1.2490000000000001</v>
      </c>
      <c r="O140" s="57">
        <v>1.1910000000000001</v>
      </c>
      <c r="R140" s="57">
        <v>1.0900000000000001</v>
      </c>
      <c r="AG140" s="57">
        <v>3.19</v>
      </c>
      <c r="AH140" s="57">
        <v>1.724</v>
      </c>
      <c r="AJ140" s="57">
        <v>2.089</v>
      </c>
      <c r="AM140" s="57">
        <v>2.0699999999999998</v>
      </c>
      <c r="BE140" s="57">
        <v>1.716</v>
      </c>
      <c r="BF140" s="57">
        <v>0.93700000000000006</v>
      </c>
    </row>
    <row r="141" spans="1:63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  <c r="AG141" s="57">
        <v>3.2650000000000001</v>
      </c>
      <c r="AH141" s="57">
        <v>1.7809999999999999</v>
      </c>
      <c r="AJ141" s="57">
        <v>1.917</v>
      </c>
      <c r="AM141" s="57">
        <v>2.1890000000000001</v>
      </c>
      <c r="AP141" s="57">
        <v>1.8540000000000001</v>
      </c>
      <c r="BE141" s="86"/>
      <c r="BF141" s="86"/>
      <c r="BH141" s="57" t="s">
        <v>312</v>
      </c>
      <c r="BI141" s="57"/>
      <c r="BJ141" s="57"/>
      <c r="BK141" s="57"/>
    </row>
    <row r="142" spans="1:63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  <c r="I142" s="57">
        <v>0.71799999999999997</v>
      </c>
      <c r="L142" s="57">
        <v>0.79800000000000004</v>
      </c>
      <c r="AG142" s="57">
        <v>3.343</v>
      </c>
      <c r="AH142" s="57">
        <v>1.841</v>
      </c>
      <c r="AJ142" s="57">
        <v>3.2050000000000001</v>
      </c>
      <c r="AM142" s="57">
        <v>2.927</v>
      </c>
      <c r="AP142" s="57">
        <v>2.7789999999999999</v>
      </c>
      <c r="BH142" s="57" t="s">
        <v>313</v>
      </c>
      <c r="BI142" s="57"/>
      <c r="BJ142" s="57"/>
      <c r="BK142" s="57"/>
    </row>
    <row r="143" spans="1:63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  <c r="I143" s="57">
        <v>0.82099999999999995</v>
      </c>
      <c r="L143" s="57">
        <v>0.95799999999999996</v>
      </c>
      <c r="O143" s="57">
        <v>0.91800000000000004</v>
      </c>
      <c r="AG143" s="57">
        <v>2.15</v>
      </c>
      <c r="AH143" s="57">
        <v>1.093</v>
      </c>
      <c r="AJ143" s="57">
        <v>1.651</v>
      </c>
      <c r="AM143" s="57">
        <v>1.7230000000000001</v>
      </c>
      <c r="AP143" s="57">
        <v>2.2450000000000001</v>
      </c>
      <c r="BE143" s="57">
        <v>1.4770000000000001</v>
      </c>
      <c r="BF143" s="57">
        <v>0.77400000000000002</v>
      </c>
      <c r="BH143" s="57" t="s">
        <v>314</v>
      </c>
    </row>
    <row r="144" spans="1:63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  <c r="I144" s="57">
        <v>1.2210000000000001</v>
      </c>
      <c r="L144" s="57">
        <v>1.218</v>
      </c>
      <c r="AG144" s="86">
        <v>1.397</v>
      </c>
      <c r="AH144" s="86">
        <v>0.68400000000000005</v>
      </c>
      <c r="AJ144" s="57">
        <v>2.5409999999999999</v>
      </c>
      <c r="AM144" s="57">
        <v>2.5350000000000001</v>
      </c>
      <c r="AP144" s="57">
        <v>2.4340000000000002</v>
      </c>
      <c r="BE144" s="57">
        <v>1.0900000000000001</v>
      </c>
      <c r="BF144" s="57">
        <v>0.55300000000000005</v>
      </c>
    </row>
    <row r="145" spans="1:60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  <c r="I145" s="57">
        <v>1.268</v>
      </c>
      <c r="L145" s="57">
        <v>1.048</v>
      </c>
      <c r="O145" s="57">
        <v>1.278</v>
      </c>
      <c r="R145" s="57">
        <v>1.198</v>
      </c>
      <c r="AG145" s="57">
        <v>1.264</v>
      </c>
      <c r="AH145" s="57">
        <v>0.56699999999999995</v>
      </c>
      <c r="AJ145" s="57">
        <v>2.411</v>
      </c>
      <c r="AM145" s="57">
        <v>2.2010000000000001</v>
      </c>
      <c r="AP145" s="57">
        <v>2.258</v>
      </c>
      <c r="BE145" s="57">
        <v>1.8520000000000001</v>
      </c>
      <c r="BF145" s="57">
        <v>0.89500000000000002</v>
      </c>
    </row>
    <row r="146" spans="1:60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</row>
    <row r="147" spans="1:60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  <c r="I147" s="57">
        <v>1.3280000000000001</v>
      </c>
      <c r="L147" s="57">
        <v>1.38</v>
      </c>
      <c r="O147" s="57">
        <v>1.258</v>
      </c>
      <c r="R147" s="57">
        <v>1.3380000000000001</v>
      </c>
      <c r="AJ147" s="57">
        <v>2.8159999999999998</v>
      </c>
      <c r="AM147" s="57">
        <v>2.702</v>
      </c>
      <c r="AP147" s="57">
        <v>2.6749999999999998</v>
      </c>
      <c r="BE147" s="57">
        <v>1.216</v>
      </c>
      <c r="BF147" s="57">
        <v>0.61299999999999999</v>
      </c>
    </row>
    <row r="148" spans="1:60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  <c r="I148" s="57">
        <v>0.88200000000000001</v>
      </c>
      <c r="L148" s="57">
        <v>0.93400000000000005</v>
      </c>
      <c r="O148" s="57">
        <v>0.89300000000000002</v>
      </c>
      <c r="AG148" s="57">
        <v>1.7589999999999999</v>
      </c>
      <c r="AH148" s="57">
        <v>0.84699999999999998</v>
      </c>
      <c r="AJ148" s="57">
        <v>2.4009999999999998</v>
      </c>
      <c r="AM148" s="57">
        <v>1.9910000000000001</v>
      </c>
      <c r="AP148" s="57">
        <v>2.2709999999999999</v>
      </c>
      <c r="BE148" s="57">
        <v>1.7350000000000001</v>
      </c>
      <c r="BF148" s="57">
        <v>0.85899999999999999</v>
      </c>
    </row>
    <row r="149" spans="1:60" x14ac:dyDescent="0.2">
      <c r="A149" s="57" t="s">
        <v>114</v>
      </c>
      <c r="B149" s="76" t="s">
        <v>133</v>
      </c>
      <c r="D149" s="54" t="s">
        <v>64</v>
      </c>
      <c r="E149" s="57">
        <v>2011</v>
      </c>
    </row>
    <row r="150" spans="1:60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</row>
    <row r="151" spans="1:60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</row>
    <row r="152" spans="1:60" x14ac:dyDescent="0.2">
      <c r="A152" s="57" t="s">
        <v>134</v>
      </c>
      <c r="B152" s="76" t="s">
        <v>135</v>
      </c>
      <c r="D152" s="54" t="s">
        <v>64</v>
      </c>
      <c r="E152" s="57">
        <v>2008</v>
      </c>
    </row>
    <row r="153" spans="1:60" x14ac:dyDescent="0.2">
      <c r="D153" s="54" t="s">
        <v>64</v>
      </c>
      <c r="E153" s="57">
        <v>2032</v>
      </c>
      <c r="I153" s="57">
        <v>0.82099999999999995</v>
      </c>
      <c r="L153" s="57">
        <v>0.95799999999999996</v>
      </c>
      <c r="O153" s="57">
        <v>0.91800000000000004</v>
      </c>
      <c r="AG153" s="57">
        <v>2.15</v>
      </c>
      <c r="AH153" s="57">
        <v>1.093</v>
      </c>
      <c r="AJ153" s="57">
        <v>1.651</v>
      </c>
      <c r="AM153" s="57">
        <v>1.7230000000000001</v>
      </c>
      <c r="AP153" s="57">
        <v>2.2450000000000001</v>
      </c>
      <c r="BE153" s="57">
        <v>1.4770000000000001</v>
      </c>
      <c r="BF153" s="57">
        <v>0.77400000000000002</v>
      </c>
    </row>
    <row r="154" spans="1:60" x14ac:dyDescent="0.2">
      <c r="D154" s="54" t="s">
        <v>64</v>
      </c>
      <c r="E154" s="57">
        <v>2385</v>
      </c>
      <c r="I154" s="57">
        <v>1.0489999999999999</v>
      </c>
      <c r="L154" s="57">
        <v>1.1080000000000001</v>
      </c>
      <c r="O154" s="57">
        <v>0.97799999999999998</v>
      </c>
      <c r="R154" s="57">
        <v>1.0409999999999999</v>
      </c>
      <c r="AG154" s="57">
        <v>3.145</v>
      </c>
      <c r="AH154" s="57">
        <v>1.496</v>
      </c>
      <c r="BH154" s="57" t="s">
        <v>310</v>
      </c>
    </row>
    <row r="155" spans="1:60" x14ac:dyDescent="0.2">
      <c r="D155" s="3"/>
    </row>
    <row r="156" spans="1:60" x14ac:dyDescent="0.2">
      <c r="D156" s="3"/>
    </row>
    <row r="157" spans="1:60" x14ac:dyDescent="0.2">
      <c r="D157" s="3"/>
    </row>
    <row r="158" spans="1:60" x14ac:dyDescent="0.2">
      <c r="D158" s="3"/>
    </row>
    <row r="159" spans="1:60" x14ac:dyDescent="0.2">
      <c r="D159" s="3"/>
    </row>
    <row r="160" spans="1:60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BK312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3" x14ac:dyDescent="0.2">
      <c r="C1" s="74" t="s">
        <v>207</v>
      </c>
      <c r="D1" s="1"/>
      <c r="E1" s="1"/>
    </row>
    <row r="3" spans="1:63" x14ac:dyDescent="0.2">
      <c r="C3" s="12" t="s">
        <v>1</v>
      </c>
      <c r="D3" s="38" t="s">
        <v>208</v>
      </c>
      <c r="E3" s="12"/>
    </row>
    <row r="4" spans="1:63" x14ac:dyDescent="0.2">
      <c r="C4" s="12" t="s">
        <v>3</v>
      </c>
      <c r="D4" s="77">
        <v>44685</v>
      </c>
    </row>
    <row r="6" spans="1:63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  <c r="BI6" s="9"/>
      <c r="BJ6" s="9"/>
      <c r="BK6" s="9"/>
    </row>
    <row r="7" spans="1:63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AJ7" s="57">
        <v>2.2400000000000002</v>
      </c>
      <c r="AM7" s="57">
        <v>1.9730000000000001</v>
      </c>
      <c r="AP7" s="57">
        <v>1.9059999999999999</v>
      </c>
      <c r="AS7" s="57">
        <v>2.0779999999999998</v>
      </c>
      <c r="BE7" s="57">
        <v>1.847</v>
      </c>
      <c r="BF7" s="57">
        <v>1.2165999999999999</v>
      </c>
      <c r="BG7" s="33">
        <f t="shared" ref="BG7:BG151" si="0">AVERAGE(BB7,AY7,AV7,AS7,AP7,AM7,AJ7)</f>
        <v>2.0492499999999998</v>
      </c>
    </row>
    <row r="8" spans="1:63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  <c r="BG8" s="33" t="e">
        <f t="shared" si="0"/>
        <v>#DIV/0!</v>
      </c>
    </row>
    <row r="9" spans="1:63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AJ9" s="57">
        <v>2.5680000000000001</v>
      </c>
      <c r="AM9" s="57">
        <v>2.8420000000000001</v>
      </c>
      <c r="AP9" s="57">
        <v>2.7120000000000002</v>
      </c>
      <c r="BE9" s="57">
        <v>1.8</v>
      </c>
      <c r="BF9" s="57">
        <v>1.1043000000000001</v>
      </c>
      <c r="BG9" s="33">
        <f t="shared" si="0"/>
        <v>2.7073333333333331</v>
      </c>
    </row>
    <row r="10" spans="1:63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  <c r="BG10" s="33" t="e">
        <f t="shared" si="0"/>
        <v>#DIV/0!</v>
      </c>
    </row>
    <row r="11" spans="1:63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BG11" s="33" t="e">
        <f t="shared" si="0"/>
        <v>#DIV/0!</v>
      </c>
    </row>
    <row r="12" spans="1:63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  <c r="BG12" s="33" t="e">
        <f t="shared" si="0"/>
        <v>#DIV/0!</v>
      </c>
    </row>
    <row r="13" spans="1:63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  <c r="BG13" s="33" t="e">
        <f t="shared" si="0"/>
        <v>#DIV/0!</v>
      </c>
    </row>
    <row r="14" spans="1:63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BG14" s="33" t="e">
        <f t="shared" si="0"/>
        <v>#DIV/0!</v>
      </c>
    </row>
    <row r="15" spans="1:63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  <c r="BG15" s="33" t="e">
        <f t="shared" si="0"/>
        <v>#DIV/0!</v>
      </c>
    </row>
    <row r="16" spans="1:63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  <c r="BG16" s="33" t="e">
        <f t="shared" si="0"/>
        <v>#DIV/0!</v>
      </c>
    </row>
    <row r="17" spans="1:59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BG17" s="33" t="e">
        <f t="shared" si="0"/>
        <v>#DIV/0!</v>
      </c>
    </row>
    <row r="18" spans="1:59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AJ18" s="57">
        <v>2.843</v>
      </c>
      <c r="AM18" s="57">
        <v>3.0139999999999998</v>
      </c>
      <c r="AP18" s="57">
        <v>3.052</v>
      </c>
      <c r="BE18" s="57">
        <v>2.1560000000000001</v>
      </c>
      <c r="BF18" s="57">
        <v>1.2255</v>
      </c>
      <c r="BG18" s="33">
        <f t="shared" si="0"/>
        <v>2.9696666666666665</v>
      </c>
    </row>
    <row r="19" spans="1:59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  <c r="BG19" s="33" t="e">
        <f t="shared" si="0"/>
        <v>#DIV/0!</v>
      </c>
    </row>
    <row r="20" spans="1:59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BG20" s="33" t="e">
        <f t="shared" si="0"/>
        <v>#DIV/0!</v>
      </c>
    </row>
    <row r="21" spans="1:59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  <c r="BG21" s="33" t="e">
        <f t="shared" si="0"/>
        <v>#DIV/0!</v>
      </c>
    </row>
    <row r="22" spans="1:59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  <c r="BG22" s="33" t="e">
        <f t="shared" si="0"/>
        <v>#DIV/0!</v>
      </c>
    </row>
    <row r="23" spans="1:59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  <c r="BG23" s="33" t="e">
        <f t="shared" si="0"/>
        <v>#DIV/0!</v>
      </c>
    </row>
    <row r="24" spans="1:59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I24" s="57">
        <v>1.4419999999999999</v>
      </c>
      <c r="L24" s="57">
        <v>1.208</v>
      </c>
      <c r="O24" s="57">
        <v>1.42</v>
      </c>
      <c r="AJ24" s="57">
        <v>2.6080000000000001</v>
      </c>
      <c r="AM24" s="57">
        <v>2.621</v>
      </c>
      <c r="AP24" s="57">
        <v>2.6760000000000002</v>
      </c>
      <c r="AS24" s="57">
        <v>3.056</v>
      </c>
      <c r="AV24" s="57">
        <v>3</v>
      </c>
      <c r="BE24" s="57">
        <v>1.615</v>
      </c>
      <c r="BF24" s="57">
        <v>0.91300000000000003</v>
      </c>
      <c r="BG24" s="33">
        <f t="shared" si="0"/>
        <v>2.7922000000000002</v>
      </c>
    </row>
    <row r="25" spans="1:59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  <c r="BG25" s="33" t="e">
        <f t="shared" si="0"/>
        <v>#DIV/0!</v>
      </c>
    </row>
    <row r="26" spans="1:59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BG26" s="33" t="e">
        <f t="shared" si="0"/>
        <v>#DIV/0!</v>
      </c>
    </row>
    <row r="27" spans="1:59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I27" s="79">
        <v>1.718</v>
      </c>
      <c r="L27" s="57">
        <v>1.6579999999999999</v>
      </c>
      <c r="O27" s="57">
        <v>1.6579999999999999</v>
      </c>
      <c r="AJ27" s="57">
        <v>2.5870000000000002</v>
      </c>
      <c r="AM27" s="57">
        <v>2.6739999999999999</v>
      </c>
      <c r="AP27" s="57">
        <v>2.4910000000000001</v>
      </c>
      <c r="AS27" s="57">
        <v>3.6</v>
      </c>
      <c r="AV27" s="57">
        <v>3.25</v>
      </c>
      <c r="AY27" s="57">
        <v>3.21</v>
      </c>
      <c r="BB27" s="57">
        <v>3.02</v>
      </c>
      <c r="BE27" s="57">
        <v>1.1539999999999999</v>
      </c>
      <c r="BF27" s="57">
        <v>0.65980000000000005</v>
      </c>
      <c r="BG27" s="33">
        <f t="shared" si="0"/>
        <v>2.976</v>
      </c>
    </row>
    <row r="28" spans="1:59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BG28" s="33" t="e">
        <f t="shared" si="0"/>
        <v>#DIV/0!</v>
      </c>
    </row>
    <row r="29" spans="1:59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BG29" s="33" t="e">
        <f t="shared" si="0"/>
        <v>#DIV/0!</v>
      </c>
    </row>
    <row r="30" spans="1:59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I30" s="57">
        <v>1.6870000000000001</v>
      </c>
      <c r="L30" s="57">
        <v>1.754</v>
      </c>
      <c r="O30" s="57">
        <v>1.6379999999999999</v>
      </c>
      <c r="AJ30" s="57">
        <v>2.5840000000000001</v>
      </c>
      <c r="AM30" s="57">
        <v>2.9449999999999998</v>
      </c>
      <c r="AP30" s="57">
        <v>2.88</v>
      </c>
      <c r="AS30" s="57">
        <v>3.18</v>
      </c>
      <c r="AV30" s="57">
        <v>3.2210000000000001</v>
      </c>
      <c r="AY30" s="57">
        <v>3.403</v>
      </c>
      <c r="BE30" s="57">
        <v>2.0190000000000001</v>
      </c>
      <c r="BF30" s="57">
        <v>1.1618999999999999</v>
      </c>
      <c r="BG30" s="33">
        <f t="shared" si="0"/>
        <v>3.0355000000000003</v>
      </c>
    </row>
    <row r="31" spans="1:59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AJ31" s="57">
        <v>2.9260000000000002</v>
      </c>
      <c r="AM31" s="57">
        <v>3.0339999999999998</v>
      </c>
      <c r="BE31" s="57">
        <v>3.0259999999999998</v>
      </c>
      <c r="BF31" s="57">
        <v>1.9052</v>
      </c>
      <c r="BG31" s="33">
        <f t="shared" si="0"/>
        <v>2.98</v>
      </c>
    </row>
    <row r="32" spans="1:59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AJ32" s="57">
        <v>2.113</v>
      </c>
      <c r="AM32" s="57">
        <v>1.9870000000000001</v>
      </c>
      <c r="AP32" s="57">
        <v>2.1579999999999999</v>
      </c>
      <c r="AS32" s="57">
        <v>1.923</v>
      </c>
      <c r="AV32" s="57">
        <v>2.669</v>
      </c>
      <c r="AY32" s="57">
        <v>1.9710000000000001</v>
      </c>
      <c r="BB32" s="57">
        <v>1.887</v>
      </c>
      <c r="BE32" s="57">
        <v>1.778</v>
      </c>
      <c r="BF32" s="57">
        <v>1.1200000000000001</v>
      </c>
      <c r="BG32" s="33">
        <f t="shared" si="0"/>
        <v>2.101142857142857</v>
      </c>
    </row>
    <row r="33" spans="1:59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AJ33" s="57">
        <v>2.9449999999999998</v>
      </c>
      <c r="AM33" s="57">
        <v>1.9870000000000001</v>
      </c>
      <c r="BE33" s="57">
        <v>1.8029999999999999</v>
      </c>
      <c r="BF33" s="57">
        <v>0.99790000000000001</v>
      </c>
      <c r="BG33" s="33">
        <f t="shared" si="0"/>
        <v>2.4660000000000002</v>
      </c>
    </row>
    <row r="34" spans="1:59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AJ34" s="57">
        <v>3.032</v>
      </c>
      <c r="AM34" s="57">
        <v>2.738</v>
      </c>
      <c r="AP34" s="57">
        <v>3.0630000000000002</v>
      </c>
      <c r="AS34" s="57">
        <v>2.9620000000000002</v>
      </c>
      <c r="BE34" s="57">
        <v>1.6619999999999999</v>
      </c>
      <c r="BF34" s="57">
        <v>0.9556</v>
      </c>
      <c r="BG34" s="33">
        <f t="shared" si="0"/>
        <v>2.94875</v>
      </c>
    </row>
    <row r="35" spans="1:59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AJ35" s="57">
        <v>2.4220000000000002</v>
      </c>
      <c r="AM35" s="57">
        <v>2.1419999999999999</v>
      </c>
      <c r="AP35" s="57">
        <v>2.6869999999999998</v>
      </c>
      <c r="AS35" s="57">
        <v>2.3260000000000001</v>
      </c>
      <c r="AV35" s="57">
        <v>2.3010000000000002</v>
      </c>
      <c r="BE35" s="57">
        <v>3.6840000000000002</v>
      </c>
      <c r="BF35" s="57">
        <v>2.3582999999999998</v>
      </c>
      <c r="BG35" s="33">
        <f t="shared" si="0"/>
        <v>2.3755999999999999</v>
      </c>
    </row>
    <row r="36" spans="1:59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  <c r="BG36" s="33" t="e">
        <f t="shared" si="0"/>
        <v>#DIV/0!</v>
      </c>
    </row>
    <row r="37" spans="1:59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  <c r="BG37" s="33" t="e">
        <f t="shared" si="0"/>
        <v>#DIV/0!</v>
      </c>
    </row>
    <row r="38" spans="1:59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  <c r="BG38" s="33" t="e">
        <f t="shared" si="0"/>
        <v>#DIV/0!</v>
      </c>
    </row>
    <row r="39" spans="1:59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  <c r="BG39" s="33" t="e">
        <f t="shared" si="0"/>
        <v>#DIV/0!</v>
      </c>
    </row>
    <row r="40" spans="1:59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  <c r="BG40" s="33" t="e">
        <f t="shared" si="0"/>
        <v>#DIV/0!</v>
      </c>
    </row>
    <row r="41" spans="1:59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  <c r="BG41" s="33" t="e">
        <f t="shared" si="0"/>
        <v>#DIV/0!</v>
      </c>
    </row>
    <row r="42" spans="1:59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I42" s="57">
        <v>1.5469999999999999</v>
      </c>
      <c r="L42" s="57">
        <v>1.448</v>
      </c>
      <c r="O42" s="57">
        <v>1.554</v>
      </c>
      <c r="AJ42" s="57">
        <v>2.0339999999999998</v>
      </c>
      <c r="AM42" s="57">
        <v>2.484</v>
      </c>
      <c r="AP42" s="57">
        <v>2.3079999999999998</v>
      </c>
      <c r="AS42" s="57">
        <v>2.6709999999999998</v>
      </c>
      <c r="AV42" s="57">
        <v>2.6669999999999998</v>
      </c>
      <c r="AY42" s="57">
        <v>2.84</v>
      </c>
      <c r="BE42" s="57">
        <v>2.2599999999999998</v>
      </c>
      <c r="BF42" s="57">
        <v>1.2910999999999999</v>
      </c>
      <c r="BG42" s="33">
        <f t="shared" si="0"/>
        <v>2.5006666666666661</v>
      </c>
    </row>
    <row r="43" spans="1:59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BG43" s="33" t="e">
        <f t="shared" si="0"/>
        <v>#DIV/0!</v>
      </c>
    </row>
    <row r="44" spans="1:59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  <c r="BG44" s="33" t="e">
        <f t="shared" si="0"/>
        <v>#DIV/0!</v>
      </c>
    </row>
    <row r="45" spans="1:59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BG45" s="33" t="e">
        <f t="shared" si="0"/>
        <v>#DIV/0!</v>
      </c>
    </row>
    <row r="46" spans="1:59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AJ46" s="57">
        <v>1.204</v>
      </c>
      <c r="AM46" s="57">
        <v>1.2330000000000001</v>
      </c>
      <c r="AP46" s="57">
        <v>2.0640000000000001</v>
      </c>
      <c r="AS46" s="57">
        <v>1.48</v>
      </c>
      <c r="AV46" s="57">
        <v>1.44</v>
      </c>
      <c r="AY46" s="57">
        <v>1.45</v>
      </c>
      <c r="BB46" s="57">
        <v>1.7</v>
      </c>
      <c r="BE46" s="57">
        <v>2.4039999999999999</v>
      </c>
      <c r="BF46" s="57">
        <v>1.4971000000000001</v>
      </c>
      <c r="BG46" s="33">
        <f t="shared" si="0"/>
        <v>1.5101428571428575</v>
      </c>
    </row>
    <row r="47" spans="1:59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I47" s="57">
        <v>1.6890000000000001</v>
      </c>
      <c r="L47" s="57">
        <v>1.8460000000000001</v>
      </c>
      <c r="O47" s="57">
        <v>1.974</v>
      </c>
      <c r="R47" s="57">
        <v>2.0979999999999999</v>
      </c>
      <c r="AJ47" s="57">
        <v>2.222</v>
      </c>
      <c r="AM47" s="57">
        <v>2.29</v>
      </c>
      <c r="AP47" s="57">
        <v>2.3010000000000002</v>
      </c>
      <c r="BE47" s="57">
        <v>1.286</v>
      </c>
      <c r="BF47" s="57">
        <v>0.74219999999999997</v>
      </c>
      <c r="BG47" s="33">
        <f t="shared" si="0"/>
        <v>2.2710000000000004</v>
      </c>
    </row>
    <row r="48" spans="1:59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I48" s="57">
        <v>1.35</v>
      </c>
      <c r="L48" s="57">
        <v>1.782</v>
      </c>
      <c r="O48" s="57">
        <v>1.47</v>
      </c>
      <c r="R48" s="57">
        <v>1.778</v>
      </c>
      <c r="U48" s="57">
        <v>1.452</v>
      </c>
      <c r="AJ48" s="57">
        <v>2.9870000000000001</v>
      </c>
      <c r="AM48" s="57">
        <v>2.7810000000000001</v>
      </c>
      <c r="AP48" s="57">
        <v>2.8130000000000002</v>
      </c>
      <c r="AS48" s="57">
        <v>3.01</v>
      </c>
      <c r="AV48" s="57">
        <v>2.59</v>
      </c>
      <c r="AY48" s="57">
        <v>3.0190000000000001</v>
      </c>
      <c r="BB48" s="57">
        <v>2.91</v>
      </c>
      <c r="BE48" s="57">
        <v>2.226</v>
      </c>
      <c r="BF48" s="57">
        <v>1.2427999999999999</v>
      </c>
      <c r="BG48" s="33">
        <f t="shared" si="0"/>
        <v>2.8728571428571428</v>
      </c>
    </row>
    <row r="49" spans="1:59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  <c r="BG49" s="33" t="e">
        <f t="shared" si="0"/>
        <v>#DIV/0!</v>
      </c>
    </row>
    <row r="50" spans="1:59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  <c r="BG50" s="33" t="e">
        <f t="shared" si="0"/>
        <v>#DIV/0!</v>
      </c>
    </row>
    <row r="51" spans="1:59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  <c r="BG51" s="33" t="e">
        <f t="shared" si="0"/>
        <v>#DIV/0!</v>
      </c>
    </row>
    <row r="52" spans="1:59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  <c r="BG52" s="33" t="e">
        <f t="shared" si="0"/>
        <v>#DIV/0!</v>
      </c>
    </row>
    <row r="53" spans="1:59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AJ53" s="57">
        <v>3.19</v>
      </c>
      <c r="AM53" s="57">
        <v>3.0139999999999998</v>
      </c>
      <c r="AP53" s="57">
        <v>3.28</v>
      </c>
      <c r="BE53" s="57">
        <v>1.8640000000000001</v>
      </c>
      <c r="BF53" s="57">
        <v>1.0470999999999999</v>
      </c>
      <c r="BG53" s="33">
        <f t="shared" si="0"/>
        <v>3.1613333333333333</v>
      </c>
    </row>
    <row r="54" spans="1:59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  <c r="BG54" s="33" t="e">
        <f t="shared" si="0"/>
        <v>#DIV/0!</v>
      </c>
    </row>
    <row r="55" spans="1:59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  <c r="BG55" s="33" t="e">
        <f t="shared" si="0"/>
        <v>#DIV/0!</v>
      </c>
    </row>
    <row r="56" spans="1:59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  <c r="BG56" s="33" t="e">
        <f t="shared" si="0"/>
        <v>#DIV/0!</v>
      </c>
    </row>
    <row r="57" spans="1:59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  <c r="BG57" s="33" t="e">
        <f t="shared" si="0"/>
        <v>#DIV/0!</v>
      </c>
    </row>
    <row r="58" spans="1:59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  <c r="BG58" s="33" t="e">
        <f t="shared" si="0"/>
        <v>#DIV/0!</v>
      </c>
    </row>
    <row r="59" spans="1:59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  <c r="BG59" s="33" t="e">
        <f t="shared" si="0"/>
        <v>#DIV/0!</v>
      </c>
    </row>
    <row r="60" spans="1:59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  <c r="BG60" s="33" t="e">
        <f t="shared" si="0"/>
        <v>#DIV/0!</v>
      </c>
    </row>
    <row r="61" spans="1:59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  <c r="BG61" s="33" t="e">
        <f t="shared" si="0"/>
        <v>#DIV/0!</v>
      </c>
    </row>
    <row r="62" spans="1:59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  <c r="BG62" s="33" t="e">
        <f t="shared" si="0"/>
        <v>#DIV/0!</v>
      </c>
    </row>
    <row r="63" spans="1:59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  <c r="BG63" s="33" t="e">
        <f t="shared" si="0"/>
        <v>#DIV/0!</v>
      </c>
    </row>
    <row r="64" spans="1:59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  <c r="BG64" s="33" t="e">
        <f t="shared" si="0"/>
        <v>#DIV/0!</v>
      </c>
    </row>
    <row r="65" spans="1:59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  <c r="BG65" s="33" t="e">
        <f t="shared" si="0"/>
        <v>#DIV/0!</v>
      </c>
    </row>
    <row r="66" spans="1:59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  <c r="BG66" s="33" t="e">
        <f t="shared" si="0"/>
        <v>#DIV/0!</v>
      </c>
    </row>
    <row r="67" spans="1:59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  <c r="BG67" s="33" t="e">
        <f t="shared" si="0"/>
        <v>#DIV/0!</v>
      </c>
    </row>
    <row r="68" spans="1:59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  <c r="BG68" s="33" t="e">
        <f t="shared" si="0"/>
        <v>#DIV/0!</v>
      </c>
    </row>
    <row r="69" spans="1:59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  <c r="BG69" s="33" t="e">
        <f t="shared" si="0"/>
        <v>#DIV/0!</v>
      </c>
    </row>
    <row r="70" spans="1:59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  <c r="BG70" s="33" t="e">
        <f t="shared" si="0"/>
        <v>#DIV/0!</v>
      </c>
    </row>
    <row r="71" spans="1:59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  <c r="BG71" s="33" t="e">
        <f t="shared" si="0"/>
        <v>#DIV/0!</v>
      </c>
    </row>
    <row r="72" spans="1:59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  <c r="BG72" s="33" t="e">
        <f t="shared" si="0"/>
        <v>#DIV/0!</v>
      </c>
    </row>
    <row r="73" spans="1:59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  <c r="BG73" s="33" t="e">
        <f t="shared" si="0"/>
        <v>#DIV/0!</v>
      </c>
    </row>
    <row r="74" spans="1:59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  <c r="BG74" s="33" t="e">
        <f t="shared" si="0"/>
        <v>#DIV/0!</v>
      </c>
    </row>
    <row r="75" spans="1:59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AJ75" s="57">
        <v>2.95</v>
      </c>
      <c r="AM75" s="57">
        <v>2.76</v>
      </c>
      <c r="AP75" s="57">
        <v>3.09</v>
      </c>
      <c r="BE75" s="57">
        <v>2.149</v>
      </c>
      <c r="BF75" s="57">
        <v>1.3815999999999999</v>
      </c>
      <c r="BG75" s="33">
        <f t="shared" si="0"/>
        <v>2.9333333333333336</v>
      </c>
    </row>
    <row r="76" spans="1:59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  <c r="BG76" s="33" t="e">
        <f t="shared" si="0"/>
        <v>#DIV/0!</v>
      </c>
    </row>
    <row r="77" spans="1:59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  <c r="BG77" s="33" t="e">
        <f t="shared" si="0"/>
        <v>#DIV/0!</v>
      </c>
    </row>
    <row r="78" spans="1:59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  <c r="BG78" s="33" t="e">
        <f t="shared" si="0"/>
        <v>#DIV/0!</v>
      </c>
    </row>
    <row r="79" spans="1:59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  <c r="BG79" s="33" t="e">
        <f t="shared" si="0"/>
        <v>#DIV/0!</v>
      </c>
    </row>
    <row r="80" spans="1:59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  <c r="BG80" s="33" t="e">
        <f t="shared" si="0"/>
        <v>#DIV/0!</v>
      </c>
    </row>
    <row r="81" spans="1:59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  <c r="BG81" s="33" t="e">
        <f t="shared" si="0"/>
        <v>#DIV/0!</v>
      </c>
    </row>
    <row r="82" spans="1:59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AJ82" s="57">
        <v>3.21</v>
      </c>
      <c r="AM82" s="57">
        <v>3.2</v>
      </c>
      <c r="AP82" s="57">
        <v>3.17</v>
      </c>
      <c r="BE82" s="57">
        <v>3.0760000000000001</v>
      </c>
      <c r="BF82" s="57">
        <v>1.867</v>
      </c>
      <c r="BG82" s="33">
        <f t="shared" si="0"/>
        <v>3.1933333333333334</v>
      </c>
    </row>
    <row r="83" spans="1:59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  <c r="BG83" s="33" t="e">
        <f t="shared" si="0"/>
        <v>#DIV/0!</v>
      </c>
    </row>
    <row r="84" spans="1:59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  <c r="BG84" s="33" t="e">
        <f t="shared" si="0"/>
        <v>#DIV/0!</v>
      </c>
    </row>
    <row r="85" spans="1:59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  <c r="BG85" s="33" t="e">
        <f t="shared" si="0"/>
        <v>#DIV/0!</v>
      </c>
    </row>
    <row r="86" spans="1:59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  <c r="BG86" s="33" t="e">
        <f t="shared" si="0"/>
        <v>#DIV/0!</v>
      </c>
    </row>
    <row r="87" spans="1:59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  <c r="BG87" s="33" t="e">
        <f t="shared" si="0"/>
        <v>#DIV/0!</v>
      </c>
    </row>
    <row r="88" spans="1:59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  <c r="BG88" s="33" t="e">
        <f t="shared" si="0"/>
        <v>#DIV/0!</v>
      </c>
    </row>
    <row r="89" spans="1:59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  <c r="BG89" s="33" t="e">
        <f t="shared" si="0"/>
        <v>#DIV/0!</v>
      </c>
    </row>
    <row r="90" spans="1:59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  <c r="BG90" s="33" t="e">
        <f t="shared" si="0"/>
        <v>#DIV/0!</v>
      </c>
    </row>
    <row r="91" spans="1:59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AJ91" s="57">
        <v>2.7090000000000001</v>
      </c>
      <c r="AM91" s="57">
        <v>2.774</v>
      </c>
      <c r="AP91" s="57">
        <v>2.5680000000000001</v>
      </c>
      <c r="BE91" s="57">
        <v>1.478</v>
      </c>
      <c r="BF91" s="57">
        <v>0.81940000000000002</v>
      </c>
      <c r="BG91" s="33">
        <f t="shared" si="0"/>
        <v>2.6836666666666669</v>
      </c>
    </row>
    <row r="92" spans="1:59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AJ92" s="57">
        <v>3.0510000000000002</v>
      </c>
      <c r="AM92" s="57">
        <v>3.0670000000000002</v>
      </c>
      <c r="AP92" s="57">
        <v>2.8050000000000002</v>
      </c>
      <c r="BE92" s="57">
        <v>1.548</v>
      </c>
      <c r="BF92" s="57">
        <v>0.88160000000000005</v>
      </c>
      <c r="BG92" s="33">
        <f t="shared" si="0"/>
        <v>2.9743333333333335</v>
      </c>
    </row>
    <row r="93" spans="1:59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AJ93" s="57">
        <v>3.871</v>
      </c>
      <c r="AM93" s="57">
        <v>3.3820000000000001</v>
      </c>
      <c r="AP93" s="57">
        <v>3.665</v>
      </c>
      <c r="AS93" s="57">
        <v>3.39</v>
      </c>
      <c r="AV93" s="57">
        <v>3.2389999999999999</v>
      </c>
      <c r="AY93" s="57">
        <v>3.5670000000000002</v>
      </c>
      <c r="BE93" s="57">
        <v>1.319</v>
      </c>
      <c r="BF93" s="57">
        <v>0.75249999999999995</v>
      </c>
      <c r="BG93" s="33">
        <f t="shared" si="0"/>
        <v>3.5190000000000001</v>
      </c>
    </row>
    <row r="94" spans="1:59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  <c r="BG94" s="33" t="e">
        <f t="shared" si="0"/>
        <v>#DIV/0!</v>
      </c>
    </row>
    <row r="95" spans="1:59" x14ac:dyDescent="0.2">
      <c r="A95" s="2"/>
      <c r="B95" s="76" t="s">
        <v>60</v>
      </c>
      <c r="C95" s="2" t="s">
        <v>112</v>
      </c>
      <c r="D95" s="3" t="s">
        <v>64</v>
      </c>
      <c r="E95" s="3"/>
      <c r="BG95" s="33" t="e">
        <f t="shared" si="0"/>
        <v>#DIV/0!</v>
      </c>
    </row>
    <row r="96" spans="1:59" x14ac:dyDescent="0.2">
      <c r="A96" s="2"/>
      <c r="B96" s="76" t="s">
        <v>60</v>
      </c>
      <c r="C96" s="2" t="s">
        <v>112</v>
      </c>
      <c r="D96" s="3" t="s">
        <v>64</v>
      </c>
      <c r="E96" s="3"/>
      <c r="BG96" s="33" t="e">
        <f t="shared" si="0"/>
        <v>#DIV/0!</v>
      </c>
    </row>
    <row r="97" spans="1:59" x14ac:dyDescent="0.2">
      <c r="A97" s="2"/>
      <c r="B97" s="76" t="s">
        <v>60</v>
      </c>
      <c r="C97" s="2" t="s">
        <v>112</v>
      </c>
      <c r="D97" s="3" t="s">
        <v>64</v>
      </c>
      <c r="E97" s="3"/>
      <c r="BG97" s="33" t="e">
        <f t="shared" si="0"/>
        <v>#DIV/0!</v>
      </c>
    </row>
    <row r="98" spans="1:59" x14ac:dyDescent="0.2">
      <c r="A98" s="2"/>
      <c r="B98" s="76" t="s">
        <v>60</v>
      </c>
      <c r="C98" s="2" t="s">
        <v>112</v>
      </c>
      <c r="D98" s="3" t="s">
        <v>64</v>
      </c>
      <c r="E98" s="3"/>
      <c r="BG98" s="33" t="e">
        <f t="shared" si="0"/>
        <v>#DIV/0!</v>
      </c>
    </row>
    <row r="99" spans="1:59" x14ac:dyDescent="0.2">
      <c r="A99" s="2"/>
      <c r="B99" s="76" t="s">
        <v>60</v>
      </c>
      <c r="C99" s="2" t="s">
        <v>112</v>
      </c>
      <c r="D99" s="3" t="s">
        <v>64</v>
      </c>
      <c r="E99" s="3"/>
      <c r="BG99" s="33" t="e">
        <f t="shared" si="0"/>
        <v>#DIV/0!</v>
      </c>
    </row>
    <row r="100" spans="1:59" x14ac:dyDescent="0.2">
      <c r="A100" s="2"/>
      <c r="B100" s="76" t="s">
        <v>60</v>
      </c>
      <c r="C100" s="2" t="s">
        <v>113</v>
      </c>
      <c r="D100" s="3" t="s">
        <v>64</v>
      </c>
      <c r="E100" s="3"/>
      <c r="BG100" s="33" t="e">
        <f t="shared" si="0"/>
        <v>#DIV/0!</v>
      </c>
    </row>
    <row r="101" spans="1:59" x14ac:dyDescent="0.2">
      <c r="A101" s="2"/>
      <c r="B101" s="76" t="s">
        <v>60</v>
      </c>
      <c r="C101" s="2" t="s">
        <v>113</v>
      </c>
      <c r="D101" s="3" t="s">
        <v>64</v>
      </c>
      <c r="E101" s="3"/>
      <c r="BG101" s="33" t="e">
        <f t="shared" si="0"/>
        <v>#DIV/0!</v>
      </c>
    </row>
    <row r="102" spans="1:59" x14ac:dyDescent="0.2">
      <c r="A102" s="2"/>
      <c r="B102" s="76" t="s">
        <v>60</v>
      </c>
      <c r="C102" s="2" t="s">
        <v>113</v>
      </c>
      <c r="D102" s="3" t="s">
        <v>64</v>
      </c>
      <c r="E102" s="3"/>
      <c r="BG102" s="33" t="e">
        <f t="shared" si="0"/>
        <v>#DIV/0!</v>
      </c>
    </row>
    <row r="103" spans="1:59" x14ac:dyDescent="0.2">
      <c r="A103" s="2"/>
      <c r="B103" s="76" t="s">
        <v>60</v>
      </c>
      <c r="C103" s="2" t="s">
        <v>113</v>
      </c>
      <c r="D103" s="3" t="s">
        <v>64</v>
      </c>
      <c r="E103" s="3"/>
      <c r="BG103" s="33" t="e">
        <f t="shared" si="0"/>
        <v>#DIV/0!</v>
      </c>
    </row>
    <row r="104" spans="1:59" x14ac:dyDescent="0.2">
      <c r="A104" s="2"/>
      <c r="B104" s="76" t="s">
        <v>60</v>
      </c>
      <c r="C104" s="2" t="s">
        <v>113</v>
      </c>
      <c r="D104" s="3" t="s">
        <v>64</v>
      </c>
      <c r="E104" s="3"/>
      <c r="BG104" s="33" t="e">
        <f t="shared" si="0"/>
        <v>#DIV/0!</v>
      </c>
    </row>
    <row r="105" spans="1:59" x14ac:dyDescent="0.2">
      <c r="A105" s="12"/>
      <c r="B105" s="76" t="s">
        <v>60</v>
      </c>
      <c r="C105" s="12" t="s">
        <v>114</v>
      </c>
      <c r="D105" s="12" t="s">
        <v>58</v>
      </c>
      <c r="E105" s="12"/>
      <c r="BG105" s="33" t="e">
        <f t="shared" si="0"/>
        <v>#DIV/0!</v>
      </c>
    </row>
    <row r="106" spans="1:59" x14ac:dyDescent="0.2">
      <c r="A106" s="12"/>
      <c r="B106" s="76" t="s">
        <v>60</v>
      </c>
      <c r="C106" s="12" t="s">
        <v>114</v>
      </c>
      <c r="D106" s="12" t="s">
        <v>58</v>
      </c>
      <c r="E106" s="12"/>
      <c r="BG106" s="33" t="e">
        <f t="shared" si="0"/>
        <v>#DIV/0!</v>
      </c>
    </row>
    <row r="107" spans="1:59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AJ107" s="57">
        <v>2.4</v>
      </c>
      <c r="AM107" s="57">
        <v>2.5</v>
      </c>
      <c r="AP107" s="57">
        <v>2.62</v>
      </c>
      <c r="AS107" s="57">
        <v>2.9</v>
      </c>
      <c r="AV107" s="57">
        <v>2.8</v>
      </c>
      <c r="AY107" s="57">
        <v>2.65</v>
      </c>
      <c r="BE107" s="57">
        <v>2.7629999999999999</v>
      </c>
      <c r="BF107" s="57">
        <v>1.5575000000000001</v>
      </c>
      <c r="BG107" s="33">
        <f t="shared" si="0"/>
        <v>2.645</v>
      </c>
    </row>
    <row r="108" spans="1:59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BG108" s="33" t="e">
        <f t="shared" si="0"/>
        <v>#DIV/0!</v>
      </c>
    </row>
    <row r="109" spans="1:59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BG109" s="33" t="e">
        <f t="shared" si="0"/>
        <v>#DIV/0!</v>
      </c>
    </row>
    <row r="110" spans="1:59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AJ110" s="57">
        <v>2.339</v>
      </c>
      <c r="AM110" s="57">
        <v>2.2450000000000001</v>
      </c>
      <c r="AP110" s="57">
        <v>2.5529999999999999</v>
      </c>
      <c r="BE110" s="57">
        <v>2.7269999999999999</v>
      </c>
      <c r="BF110" s="57">
        <v>1.5983000000000001</v>
      </c>
      <c r="BG110" s="33">
        <f t="shared" si="0"/>
        <v>2.379</v>
      </c>
    </row>
    <row r="111" spans="1:59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AJ111" s="57">
        <v>2.25</v>
      </c>
      <c r="AM111" s="57">
        <v>2.29</v>
      </c>
      <c r="AP111" s="57">
        <v>2.17</v>
      </c>
      <c r="BE111" s="57">
        <v>2.8180000000000001</v>
      </c>
      <c r="BF111" s="57">
        <v>1.6355999999999999</v>
      </c>
      <c r="BG111" s="33">
        <f t="shared" si="0"/>
        <v>2.2366666666666668</v>
      </c>
    </row>
    <row r="112" spans="1:59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AJ112" s="57">
        <v>3.157</v>
      </c>
      <c r="AM112" s="57">
        <v>2.714</v>
      </c>
      <c r="AP112" s="57">
        <v>2.6240000000000001</v>
      </c>
      <c r="AS112" s="57">
        <v>2.9020000000000001</v>
      </c>
      <c r="BE112" s="57">
        <v>1.861</v>
      </c>
      <c r="BF112" s="57">
        <v>1.0737000000000001</v>
      </c>
      <c r="BG112" s="33">
        <f t="shared" si="0"/>
        <v>2.8492500000000001</v>
      </c>
    </row>
    <row r="113" spans="1:59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  <c r="BG113" s="33" t="e">
        <f t="shared" si="0"/>
        <v>#DIV/0!</v>
      </c>
    </row>
    <row r="114" spans="1:59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  <c r="BG114" s="33" t="e">
        <f t="shared" si="0"/>
        <v>#DIV/0!</v>
      </c>
    </row>
    <row r="115" spans="1:59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  <c r="BG115" s="33" t="e">
        <f t="shared" si="0"/>
        <v>#DIV/0!</v>
      </c>
    </row>
    <row r="116" spans="1:59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  <c r="BG116" s="33" t="e">
        <f t="shared" si="0"/>
        <v>#DIV/0!</v>
      </c>
    </row>
    <row r="117" spans="1:59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BG117" s="33" t="e">
        <f t="shared" si="0"/>
        <v>#DIV/0!</v>
      </c>
    </row>
    <row r="118" spans="1:59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BG118" s="33" t="e">
        <f t="shared" si="0"/>
        <v>#DIV/0!</v>
      </c>
    </row>
    <row r="119" spans="1:59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BG119" s="33" t="e">
        <f t="shared" si="0"/>
        <v>#DIV/0!</v>
      </c>
    </row>
    <row r="120" spans="1:59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BG120" s="33" t="e">
        <f t="shared" si="0"/>
        <v>#DIV/0!</v>
      </c>
    </row>
    <row r="121" spans="1:59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BG121" s="33" t="e">
        <f t="shared" si="0"/>
        <v>#DIV/0!</v>
      </c>
    </row>
    <row r="122" spans="1:59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BG122" s="33" t="e">
        <f t="shared" si="0"/>
        <v>#DIV/0!</v>
      </c>
    </row>
    <row r="123" spans="1:59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  <c r="BG123" s="33" t="e">
        <f t="shared" si="0"/>
        <v>#DIV/0!</v>
      </c>
    </row>
    <row r="124" spans="1:59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  <c r="BG124" s="33" t="e">
        <f t="shared" si="0"/>
        <v>#DIV/0!</v>
      </c>
    </row>
    <row r="125" spans="1:59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  <c r="BG125" s="33" t="e">
        <f t="shared" si="0"/>
        <v>#DIV/0!</v>
      </c>
    </row>
    <row r="126" spans="1:59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  <c r="BG126" s="33" t="e">
        <f t="shared" si="0"/>
        <v>#DIV/0!</v>
      </c>
    </row>
    <row r="127" spans="1:59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  <c r="BG127" s="33" t="e">
        <f t="shared" si="0"/>
        <v>#DIV/0!</v>
      </c>
    </row>
    <row r="128" spans="1:59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  <c r="BG128" s="33" t="e">
        <f t="shared" si="0"/>
        <v>#DIV/0!</v>
      </c>
    </row>
    <row r="129" spans="1:59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  <c r="BG129" s="33" t="e">
        <f t="shared" si="0"/>
        <v>#DIV/0!</v>
      </c>
    </row>
    <row r="130" spans="1:59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  <c r="BG130" s="33" t="e">
        <f t="shared" si="0"/>
        <v>#DIV/0!</v>
      </c>
    </row>
    <row r="131" spans="1:59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  <c r="BG131" s="33" t="e">
        <f t="shared" si="0"/>
        <v>#DIV/0!</v>
      </c>
    </row>
    <row r="132" spans="1:59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  <c r="BG132" s="33" t="e">
        <f t="shared" si="0"/>
        <v>#DIV/0!</v>
      </c>
    </row>
    <row r="133" spans="1:59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  <c r="BG133" s="33" t="e">
        <f t="shared" si="0"/>
        <v>#DIV/0!</v>
      </c>
    </row>
    <row r="134" spans="1:59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  <c r="BG134" s="33" t="e">
        <f t="shared" si="0"/>
        <v>#DIV/0!</v>
      </c>
    </row>
    <row r="135" spans="1:59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  <c r="BG135" s="33" t="e">
        <f t="shared" si="0"/>
        <v>#DIV/0!</v>
      </c>
    </row>
    <row r="136" spans="1:59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  <c r="BG136" s="33" t="e">
        <f t="shared" si="0"/>
        <v>#DIV/0!</v>
      </c>
    </row>
    <row r="137" spans="1:59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  <c r="BG137" s="33" t="e">
        <f t="shared" si="0"/>
        <v>#DIV/0!</v>
      </c>
    </row>
    <row r="138" spans="1:59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  <c r="BG138" s="33" t="e">
        <f t="shared" si="0"/>
        <v>#DIV/0!</v>
      </c>
    </row>
    <row r="139" spans="1:59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  <c r="BG139" s="33" t="e">
        <f t="shared" si="0"/>
        <v>#DIV/0!</v>
      </c>
    </row>
    <row r="140" spans="1:59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  <c r="BG140" s="33" t="e">
        <f t="shared" si="0"/>
        <v>#DIV/0!</v>
      </c>
    </row>
    <row r="141" spans="1:59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  <c r="BG141" s="33" t="e">
        <f t="shared" si="0"/>
        <v>#DIV/0!</v>
      </c>
    </row>
    <row r="142" spans="1:59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  <c r="BG142" s="33" t="e">
        <f t="shared" si="0"/>
        <v>#DIV/0!</v>
      </c>
    </row>
    <row r="143" spans="1:59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  <c r="BG143" s="33" t="e">
        <f t="shared" si="0"/>
        <v>#DIV/0!</v>
      </c>
    </row>
    <row r="144" spans="1:59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  <c r="BG144" s="33" t="e">
        <f t="shared" si="0"/>
        <v>#DIV/0!</v>
      </c>
    </row>
    <row r="145" spans="1:59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  <c r="BG145" s="33" t="e">
        <f t="shared" si="0"/>
        <v>#DIV/0!</v>
      </c>
    </row>
    <row r="146" spans="1:59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  <c r="BG146" s="33" t="e">
        <f t="shared" si="0"/>
        <v>#DIV/0!</v>
      </c>
    </row>
    <row r="147" spans="1:59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  <c r="BG147" s="33" t="e">
        <f t="shared" si="0"/>
        <v>#DIV/0!</v>
      </c>
    </row>
    <row r="148" spans="1:59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  <c r="BG148" s="33" t="e">
        <f t="shared" si="0"/>
        <v>#DIV/0!</v>
      </c>
    </row>
    <row r="149" spans="1:59" x14ac:dyDescent="0.2">
      <c r="A149" s="57" t="s">
        <v>114</v>
      </c>
      <c r="B149" s="76" t="s">
        <v>133</v>
      </c>
      <c r="D149" s="54" t="s">
        <v>64</v>
      </c>
      <c r="E149" s="57">
        <v>2011</v>
      </c>
      <c r="AJ149" s="57">
        <v>2.95</v>
      </c>
      <c r="AM149" s="57">
        <v>3.45</v>
      </c>
      <c r="AP149" s="57">
        <v>3.1</v>
      </c>
      <c r="AS149" s="57">
        <v>2.92</v>
      </c>
      <c r="BE149" s="57">
        <v>1.9450000000000001</v>
      </c>
      <c r="BF149" s="57">
        <v>1.1255999999999999</v>
      </c>
      <c r="BG149" s="33">
        <f t="shared" si="0"/>
        <v>3.1049999999999995</v>
      </c>
    </row>
    <row r="150" spans="1:59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  <c r="AJ150" s="57">
        <v>2.4470000000000001</v>
      </c>
      <c r="AM150" s="57">
        <v>2.669</v>
      </c>
      <c r="AP150" s="57">
        <v>2.1240000000000001</v>
      </c>
      <c r="AS150" s="57">
        <v>2.5489999999999999</v>
      </c>
      <c r="BE150" s="57">
        <v>3.4550000000000001</v>
      </c>
      <c r="BF150" s="57">
        <v>1.9549000000000001</v>
      </c>
      <c r="BG150" s="33">
        <f t="shared" si="0"/>
        <v>2.4472500000000004</v>
      </c>
    </row>
    <row r="151" spans="1:59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  <c r="AJ151" s="57">
        <v>2.7850000000000001</v>
      </c>
      <c r="AM151" s="57">
        <v>2.86</v>
      </c>
      <c r="AP151" s="57">
        <v>3.1339999999999999</v>
      </c>
      <c r="AS151" s="57">
        <v>3.0710000000000002</v>
      </c>
      <c r="AV151" s="57">
        <v>2.9209999999999998</v>
      </c>
      <c r="BE151" s="57">
        <v>2.0750000000000002</v>
      </c>
      <c r="BF151" s="57">
        <v>1.2303999999999999</v>
      </c>
      <c r="BG151" s="33">
        <f t="shared" si="0"/>
        <v>2.9541999999999997</v>
      </c>
    </row>
    <row r="152" spans="1:59" x14ac:dyDescent="0.2">
      <c r="A152" s="57" t="s">
        <v>134</v>
      </c>
      <c r="B152" s="76" t="s">
        <v>135</v>
      </c>
      <c r="D152" s="54" t="s">
        <v>64</v>
      </c>
      <c r="E152" s="57">
        <v>2008</v>
      </c>
    </row>
    <row r="153" spans="1:59" x14ac:dyDescent="0.2">
      <c r="D153" s="3"/>
    </row>
    <row r="154" spans="1:59" x14ac:dyDescent="0.2">
      <c r="D154" s="3"/>
    </row>
    <row r="155" spans="1:59" x14ac:dyDescent="0.2">
      <c r="D155" s="3"/>
    </row>
    <row r="156" spans="1:59" x14ac:dyDescent="0.2">
      <c r="D156" s="3"/>
    </row>
    <row r="157" spans="1:59" x14ac:dyDescent="0.2">
      <c r="D157" s="3"/>
    </row>
    <row r="158" spans="1:59" x14ac:dyDescent="0.2">
      <c r="D158" s="3"/>
    </row>
    <row r="159" spans="1:59" x14ac:dyDescent="0.2">
      <c r="D159" s="3"/>
    </row>
    <row r="160" spans="1:59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BM308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5" x14ac:dyDescent="0.2">
      <c r="C1" s="74" t="s">
        <v>207</v>
      </c>
      <c r="D1" s="1"/>
      <c r="E1" s="1"/>
    </row>
    <row r="3" spans="1:65" x14ac:dyDescent="0.2">
      <c r="C3" s="12" t="s">
        <v>1</v>
      </c>
      <c r="D3" s="38" t="s">
        <v>208</v>
      </c>
      <c r="E3" s="12"/>
    </row>
    <row r="4" spans="1:65" x14ac:dyDescent="0.2">
      <c r="C4" s="12" t="s">
        <v>3</v>
      </c>
      <c r="D4" s="77">
        <v>44690</v>
      </c>
    </row>
    <row r="6" spans="1:65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315</v>
      </c>
      <c r="BF6" s="30" t="s">
        <v>316</v>
      </c>
      <c r="BG6" s="30" t="s">
        <v>317</v>
      </c>
      <c r="BH6" s="30" t="s">
        <v>318</v>
      </c>
      <c r="BI6" s="30" t="s">
        <v>260</v>
      </c>
      <c r="BJ6" s="29" t="s">
        <v>26</v>
      </c>
      <c r="BK6" s="9"/>
      <c r="BL6" s="9"/>
      <c r="BM6" s="9"/>
    </row>
    <row r="7" spans="1:65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I7" s="57">
        <v>1.026</v>
      </c>
      <c r="L7" s="57">
        <v>1.613</v>
      </c>
      <c r="O7" s="57">
        <v>1.218</v>
      </c>
      <c r="R7" s="57">
        <v>1.79</v>
      </c>
      <c r="U7" s="57">
        <v>3.028</v>
      </c>
      <c r="X7" s="57">
        <v>1.8480000000000001</v>
      </c>
      <c r="AG7" s="57">
        <v>1.66</v>
      </c>
      <c r="AH7" s="57">
        <v>1.002</v>
      </c>
      <c r="AJ7" s="57">
        <v>2.1280000000000001</v>
      </c>
      <c r="AM7" s="57">
        <v>2.0649999999999999</v>
      </c>
      <c r="AP7" s="57">
        <v>2.4550000000000001</v>
      </c>
      <c r="BE7" s="57">
        <v>0.56779999999999997</v>
      </c>
      <c r="BF7" s="57">
        <v>0.36430000000000001</v>
      </c>
    </row>
    <row r="8" spans="1:65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</row>
    <row r="9" spans="1:65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I9" s="57">
        <v>1.89</v>
      </c>
      <c r="L9" s="57">
        <v>2.2599999999999998</v>
      </c>
      <c r="O9" s="57">
        <v>1.8180000000000001</v>
      </c>
      <c r="AG9" s="57">
        <v>1.53</v>
      </c>
      <c r="AH9" s="57">
        <v>0.98699999999999999</v>
      </c>
      <c r="AJ9" s="57">
        <v>2.4430000000000001</v>
      </c>
      <c r="AM9" s="57">
        <v>3.0739999999999998</v>
      </c>
      <c r="AP9" s="57">
        <v>2.4870000000000001</v>
      </c>
      <c r="AS9" s="57">
        <v>3.347</v>
      </c>
      <c r="BE9" s="57">
        <v>1.2484999999999999</v>
      </c>
      <c r="BF9" s="57">
        <v>0.75729999999999997</v>
      </c>
    </row>
    <row r="10" spans="1:65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</row>
    <row r="11" spans="1:65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5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</row>
    <row r="13" spans="1:65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</row>
    <row r="14" spans="1:65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5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</row>
    <row r="16" spans="1:65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</row>
    <row r="17" spans="1:62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62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</row>
    <row r="19" spans="1:62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</row>
    <row r="20" spans="1:62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62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</row>
    <row r="22" spans="1:62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</row>
    <row r="23" spans="1:62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  <c r="I23" s="57">
        <v>1.5780000000000001</v>
      </c>
      <c r="L23" s="57">
        <v>1.458</v>
      </c>
      <c r="O23" s="57">
        <v>1.554</v>
      </c>
      <c r="AG23" s="57">
        <v>1.66</v>
      </c>
      <c r="AH23" s="57">
        <v>0.95</v>
      </c>
      <c r="AJ23" s="57">
        <v>2.7869999999999999</v>
      </c>
      <c r="AM23" s="57">
        <v>3</v>
      </c>
      <c r="AP23" s="57">
        <v>2.7989999999999999</v>
      </c>
      <c r="BE23" s="57">
        <v>1.6637999999999999</v>
      </c>
      <c r="BF23" s="57">
        <v>0.93610000000000004</v>
      </c>
    </row>
    <row r="24" spans="1:62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I24" s="57">
        <v>1.4419999999999999</v>
      </c>
      <c r="L24" s="57">
        <v>1.208</v>
      </c>
      <c r="O24" s="57">
        <v>1.42</v>
      </c>
      <c r="AG24" s="57">
        <v>1.51</v>
      </c>
      <c r="AH24" s="57">
        <v>0.81</v>
      </c>
      <c r="AJ24" s="57">
        <v>2.6080000000000001</v>
      </c>
      <c r="AM24" s="57">
        <v>2.621</v>
      </c>
      <c r="BE24" s="57">
        <v>1.6895</v>
      </c>
      <c r="BF24" s="57">
        <v>0.93079999999999996</v>
      </c>
    </row>
    <row r="25" spans="1:62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</row>
    <row r="26" spans="1:62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62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I27" s="57">
        <v>1.718</v>
      </c>
      <c r="L27" s="57">
        <v>1.6579999999999999</v>
      </c>
      <c r="O27" s="57">
        <v>1.6579999999999999</v>
      </c>
      <c r="AG27" s="57">
        <v>1.85</v>
      </c>
      <c r="AH27" s="57">
        <v>1.06</v>
      </c>
      <c r="AJ27" s="57">
        <v>2.5870000000000002</v>
      </c>
      <c r="AM27" s="57">
        <v>2.6739999999999999</v>
      </c>
      <c r="AP27" s="57">
        <v>2.4910000000000001</v>
      </c>
      <c r="BE27" s="57">
        <v>1.5878000000000001</v>
      </c>
      <c r="BF27" s="57">
        <v>0.85519999999999996</v>
      </c>
    </row>
    <row r="28" spans="1:62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62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62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I30" s="57">
        <v>1.6870000000000001</v>
      </c>
      <c r="L30" s="57">
        <v>1.754</v>
      </c>
      <c r="O30" s="57">
        <v>1.6379999999999999</v>
      </c>
      <c r="AG30" s="57">
        <v>1.98</v>
      </c>
      <c r="AH30" s="57">
        <v>1.1419999999999999</v>
      </c>
      <c r="AJ30" s="57">
        <v>2.5840000000000001</v>
      </c>
      <c r="AM30" s="57">
        <v>2.9449999999999998</v>
      </c>
      <c r="AP30" s="57">
        <v>2.88</v>
      </c>
      <c r="BE30" s="57">
        <v>0.95369999999999999</v>
      </c>
      <c r="BF30" s="57">
        <v>0.52529999999999999</v>
      </c>
    </row>
    <row r="31" spans="1:62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I31" s="57">
        <v>0.77800000000000002</v>
      </c>
      <c r="L31" s="57">
        <v>0.58699999999999997</v>
      </c>
      <c r="O31" s="57">
        <v>0.80200000000000005</v>
      </c>
      <c r="R31" s="57">
        <v>0.73899999999999999</v>
      </c>
      <c r="AG31" s="57">
        <v>1.99</v>
      </c>
      <c r="AH31" s="57">
        <v>1.2609999999999999</v>
      </c>
      <c r="AJ31" s="57">
        <v>3.7810000000000001</v>
      </c>
      <c r="AM31" s="57">
        <v>3.2949999999999999</v>
      </c>
      <c r="AP31" s="57">
        <v>3.4409999999999998</v>
      </c>
      <c r="BE31" s="57">
        <v>0.82489999999999997</v>
      </c>
      <c r="BF31" s="57">
        <v>0.50649999999999995</v>
      </c>
      <c r="BG31" s="57">
        <v>1.3654999999999999</v>
      </c>
      <c r="BH31" s="57">
        <v>0.83489999999999998</v>
      </c>
      <c r="BJ31" s="57" t="s">
        <v>319</v>
      </c>
    </row>
    <row r="32" spans="1:62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I32" s="57">
        <v>0.60799999999999998</v>
      </c>
      <c r="L32" s="57">
        <v>0.53800000000000003</v>
      </c>
      <c r="O32" s="57">
        <v>0.60399999999999998</v>
      </c>
      <c r="AG32" s="57">
        <v>1.87</v>
      </c>
      <c r="AH32" s="57">
        <v>1.1890000000000001</v>
      </c>
      <c r="AJ32" s="57">
        <v>2.04</v>
      </c>
      <c r="AM32" s="57">
        <v>1.7210000000000001</v>
      </c>
      <c r="AP32" s="57">
        <v>1.593</v>
      </c>
      <c r="AS32" s="57">
        <v>1.5980000000000001</v>
      </c>
      <c r="AV32" s="57">
        <v>1.899</v>
      </c>
      <c r="AY32" s="57">
        <v>1.788</v>
      </c>
      <c r="BE32" s="57">
        <v>1.8462000000000001</v>
      </c>
      <c r="BF32" s="57">
        <v>1.0575000000000001</v>
      </c>
    </row>
    <row r="33" spans="1:60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I33" s="57">
        <v>1.53</v>
      </c>
      <c r="L33" s="57">
        <v>1.56</v>
      </c>
      <c r="O33" s="57">
        <v>1.56</v>
      </c>
      <c r="AG33" s="57">
        <v>1.64</v>
      </c>
      <c r="AH33" s="57">
        <v>0.91300000000000003</v>
      </c>
      <c r="BE33" s="57">
        <v>1.7062999999999999</v>
      </c>
      <c r="BF33" s="57">
        <v>0.9143</v>
      </c>
    </row>
    <row r="34" spans="1:60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I34" s="57">
        <v>1.748</v>
      </c>
      <c r="L34" s="57">
        <v>1.59</v>
      </c>
      <c r="O34" s="57">
        <v>1.538</v>
      </c>
      <c r="AG34" s="57">
        <v>2.46</v>
      </c>
      <c r="AH34" s="57">
        <v>1.3959999999999999</v>
      </c>
      <c r="AJ34" s="57">
        <v>2.37</v>
      </c>
      <c r="AM34" s="57">
        <v>2.448</v>
      </c>
      <c r="AP34" s="57">
        <v>2.4830000000000001</v>
      </c>
      <c r="BE34" s="57">
        <v>1.7966</v>
      </c>
      <c r="BF34" s="57">
        <v>0.97640000000000005</v>
      </c>
    </row>
    <row r="35" spans="1:60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I35" s="57">
        <v>0.54200000000000004</v>
      </c>
      <c r="L35" s="57">
        <v>0.53800000000000003</v>
      </c>
      <c r="O35" s="57">
        <v>0.46500000000000002</v>
      </c>
      <c r="AG35" s="57">
        <v>1.57</v>
      </c>
      <c r="AH35" s="57">
        <v>1.002</v>
      </c>
      <c r="AJ35" s="57">
        <v>1.9019999999999999</v>
      </c>
      <c r="AM35" s="57">
        <v>1.7909999999999999</v>
      </c>
      <c r="AP35" s="57">
        <v>1.534</v>
      </c>
      <c r="BE35" s="57">
        <v>2.1974999999999998</v>
      </c>
      <c r="BF35" s="57">
        <v>1.3779999999999999</v>
      </c>
    </row>
    <row r="36" spans="1:60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</row>
    <row r="37" spans="1:60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</row>
    <row r="38" spans="1:60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</row>
    <row r="39" spans="1:60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</row>
    <row r="40" spans="1:60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</row>
    <row r="41" spans="1:60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</row>
    <row r="42" spans="1:60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I42" s="57">
        <v>1.448</v>
      </c>
      <c r="L42" s="57">
        <v>1.554</v>
      </c>
      <c r="O42" s="57">
        <v>1.4570000000000001</v>
      </c>
      <c r="AG42" s="57">
        <v>3.81</v>
      </c>
      <c r="AH42" s="57">
        <v>2.145</v>
      </c>
      <c r="AJ42" s="57">
        <v>2.0339999999999998</v>
      </c>
      <c r="AM42" s="57">
        <v>2.484</v>
      </c>
      <c r="AP42" s="57">
        <v>2.3079999999999998</v>
      </c>
      <c r="BE42" s="57">
        <v>2.2237</v>
      </c>
      <c r="BF42" s="57">
        <v>0.2233</v>
      </c>
    </row>
    <row r="43" spans="1:60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60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</row>
    <row r="45" spans="1:60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60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I46" s="57">
        <v>0.64800000000000002</v>
      </c>
      <c r="L46" s="57">
        <v>1.306</v>
      </c>
      <c r="O46" s="57">
        <v>0.98199999999999998</v>
      </c>
      <c r="R46" s="57">
        <v>0.69799999999999995</v>
      </c>
      <c r="U46" s="57">
        <v>1.054</v>
      </c>
      <c r="X46" s="57">
        <v>0.71499999999999997</v>
      </c>
      <c r="AA46" s="57">
        <v>0.51600000000000001</v>
      </c>
      <c r="AG46" s="57">
        <v>0.93</v>
      </c>
      <c r="AH46" s="57">
        <v>0.57699999999999996</v>
      </c>
      <c r="AJ46" s="57">
        <v>1.204</v>
      </c>
      <c r="AM46" s="57">
        <v>1.2330000000000001</v>
      </c>
      <c r="BE46" s="57">
        <v>0.19239999999999999</v>
      </c>
      <c r="BF46" s="57">
        <v>0.10639999999999999</v>
      </c>
      <c r="BG46" s="57">
        <v>0.92269999999999996</v>
      </c>
      <c r="BH46" s="57">
        <v>0.5504</v>
      </c>
    </row>
    <row r="47" spans="1:60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I47" s="57">
        <v>1.6890000000000001</v>
      </c>
      <c r="L47" s="57">
        <v>1.8640000000000001</v>
      </c>
      <c r="O47" s="57">
        <v>1.974</v>
      </c>
      <c r="R47" s="57">
        <v>2.0979999999999999</v>
      </c>
      <c r="AG47" s="57">
        <v>1.88</v>
      </c>
      <c r="AH47" s="57">
        <v>1.075</v>
      </c>
      <c r="AJ47" s="57">
        <v>2.7149999999999999</v>
      </c>
      <c r="AM47" s="57">
        <v>2.1440000000000001</v>
      </c>
      <c r="AP47" s="57">
        <v>2.585</v>
      </c>
      <c r="BE47" s="57">
        <v>1.9133</v>
      </c>
      <c r="BF47" s="57">
        <v>1.0673999999999999</v>
      </c>
    </row>
    <row r="48" spans="1:60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I48" s="57">
        <v>1.35</v>
      </c>
      <c r="L48" s="57">
        <v>1.728</v>
      </c>
      <c r="O48" s="57">
        <v>1.47</v>
      </c>
      <c r="R48" s="57">
        <v>1.778</v>
      </c>
      <c r="U48" s="57">
        <v>1.452</v>
      </c>
      <c r="AG48" s="57">
        <v>1.67</v>
      </c>
      <c r="AH48" s="57">
        <v>0.93200000000000005</v>
      </c>
      <c r="AJ48" s="57">
        <v>2.9870000000000001</v>
      </c>
      <c r="AM48" s="57">
        <v>2.7810000000000001</v>
      </c>
      <c r="AP48" s="57">
        <v>2.8130000000000002</v>
      </c>
      <c r="BE48" s="57">
        <v>1.5128999999999999</v>
      </c>
      <c r="BF48" s="57">
        <v>0.80759999999999998</v>
      </c>
    </row>
    <row r="49" spans="1:62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</row>
    <row r="50" spans="1:62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</row>
    <row r="51" spans="1:62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</row>
    <row r="52" spans="1:62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</row>
    <row r="53" spans="1:62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I53" s="57">
        <v>1.4450000000000001</v>
      </c>
      <c r="L53" s="57">
        <v>1.2509999999999999</v>
      </c>
      <c r="O53" s="57">
        <v>1.431</v>
      </c>
      <c r="R53" s="57">
        <v>1.8080000000000001</v>
      </c>
      <c r="U53" s="57">
        <v>1.3280000000000001</v>
      </c>
      <c r="X53" s="57">
        <v>2.0739999999999998</v>
      </c>
      <c r="AJ53" s="57">
        <v>2.673</v>
      </c>
      <c r="AM53" s="57">
        <v>2.4039999999999999</v>
      </c>
      <c r="AP53" s="57">
        <v>2.7309999999999999</v>
      </c>
      <c r="BE53" s="57">
        <v>1.6834</v>
      </c>
      <c r="BF53" s="57">
        <v>0.90880000000000005</v>
      </c>
      <c r="BJ53" s="57" t="s">
        <v>320</v>
      </c>
    </row>
    <row r="54" spans="1:62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  <c r="BE54" s="57">
        <v>2.8502999999999998</v>
      </c>
      <c r="BF54" s="57">
        <v>1.7588999999999999</v>
      </c>
    </row>
    <row r="55" spans="1:62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</row>
    <row r="56" spans="1:62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</row>
    <row r="57" spans="1:62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</row>
    <row r="58" spans="1:62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</row>
    <row r="59" spans="1:62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</row>
    <row r="60" spans="1:62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</row>
    <row r="61" spans="1:62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</row>
    <row r="62" spans="1:62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</row>
    <row r="63" spans="1:62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</row>
    <row r="64" spans="1:62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</row>
    <row r="65" spans="1:58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</row>
    <row r="66" spans="1:58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</row>
    <row r="67" spans="1:58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</row>
    <row r="68" spans="1:58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</row>
    <row r="69" spans="1:58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</row>
    <row r="70" spans="1:58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</row>
    <row r="71" spans="1:58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</row>
    <row r="72" spans="1:58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</row>
    <row r="73" spans="1:58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</row>
    <row r="74" spans="1:58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</row>
    <row r="75" spans="1:58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I75" s="57">
        <v>1.23</v>
      </c>
      <c r="L75" s="57">
        <v>1.3</v>
      </c>
      <c r="O75" s="57">
        <v>1.2789999999999999</v>
      </c>
      <c r="AG75" s="57">
        <v>2.4500000000000002</v>
      </c>
      <c r="AH75" s="57">
        <v>1.5760000000000001</v>
      </c>
      <c r="AJ75" s="57">
        <v>2.3769999999999998</v>
      </c>
      <c r="AM75" s="57">
        <v>2.3479999999999999</v>
      </c>
      <c r="BE75" s="57">
        <v>1.7699</v>
      </c>
      <c r="BF75" s="57">
        <v>1.0888</v>
      </c>
    </row>
    <row r="76" spans="1:58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</row>
    <row r="77" spans="1:58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</row>
    <row r="78" spans="1:58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</row>
    <row r="79" spans="1:58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</row>
    <row r="80" spans="1:58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</row>
    <row r="81" spans="1:58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58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I82" s="57">
        <v>1.9730000000000001</v>
      </c>
      <c r="L82" s="57">
        <v>1.7809999999999999</v>
      </c>
      <c r="O82" s="57">
        <v>1.881</v>
      </c>
      <c r="AG82" s="57">
        <v>2.84</v>
      </c>
      <c r="AH82" s="57">
        <v>1.7150000000000001</v>
      </c>
      <c r="AJ82" s="57">
        <v>3.3010000000000002</v>
      </c>
      <c r="AM82" s="57">
        <v>3.1040000000000001</v>
      </c>
      <c r="AP82" s="57">
        <v>3.0049999999999999</v>
      </c>
    </row>
    <row r="83" spans="1:58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</row>
    <row r="84" spans="1:58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</row>
    <row r="85" spans="1:58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</row>
    <row r="86" spans="1:58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</row>
    <row r="87" spans="1:58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</row>
    <row r="88" spans="1:58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</row>
    <row r="89" spans="1:58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</row>
    <row r="90" spans="1:58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</row>
    <row r="91" spans="1:58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AJ91" s="57">
        <v>2.1659999999999999</v>
      </c>
      <c r="AM91" s="57">
        <v>2.5659999999999998</v>
      </c>
      <c r="AP91" s="57">
        <v>2.3039999999999998</v>
      </c>
      <c r="BE91" s="57">
        <v>1.1691</v>
      </c>
      <c r="BF91" s="57">
        <v>0.62739999999999996</v>
      </c>
    </row>
    <row r="92" spans="1:58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I92" s="57">
        <v>1.1919999999999999</v>
      </c>
      <c r="L92" s="57">
        <v>1.0780000000000001</v>
      </c>
      <c r="O92" s="57">
        <v>1.3140000000000001</v>
      </c>
      <c r="R92" s="57">
        <v>1.476</v>
      </c>
      <c r="AG92" s="57">
        <v>1.55</v>
      </c>
      <c r="AH92" s="57">
        <v>0.83799999999999997</v>
      </c>
      <c r="AJ92" s="57">
        <v>2.2709999999999999</v>
      </c>
      <c r="AM92" s="57">
        <v>2.052</v>
      </c>
      <c r="AP92" s="57">
        <v>2.5710000000000002</v>
      </c>
      <c r="BE92" s="57">
        <v>1.6759999999999999</v>
      </c>
      <c r="BF92" s="57">
        <v>0.89900000000000002</v>
      </c>
    </row>
    <row r="93" spans="1:58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I93" s="57">
        <v>1.8839999999999999</v>
      </c>
      <c r="L93" s="57">
        <v>1.8180000000000001</v>
      </c>
      <c r="AG93" s="57">
        <v>1.35</v>
      </c>
      <c r="AH93" s="57">
        <v>0.79500000000000004</v>
      </c>
      <c r="AJ93" s="57">
        <v>1.972</v>
      </c>
      <c r="AM93" s="57">
        <v>1.9810000000000001</v>
      </c>
      <c r="BE93" s="57">
        <v>0.89510000000000001</v>
      </c>
      <c r="BF93" s="57">
        <v>0.48749999999999999</v>
      </c>
    </row>
    <row r="94" spans="1:58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</row>
    <row r="95" spans="1:58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58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62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62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62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62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62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62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62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62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62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62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62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I107" s="57">
        <v>2.4180000000000001</v>
      </c>
      <c r="L107" s="57">
        <v>2.1539999999999999</v>
      </c>
      <c r="O107" s="57">
        <v>2.4279999999999999</v>
      </c>
      <c r="R107" s="57">
        <v>2.4430000000000001</v>
      </c>
      <c r="AG107" s="57">
        <v>2.15</v>
      </c>
      <c r="AH107" s="57">
        <v>1.1850000000000001</v>
      </c>
    </row>
    <row r="108" spans="1:62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62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62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I110" s="57">
        <v>1.7509999999999999</v>
      </c>
      <c r="L110" s="57">
        <v>1.5880000000000001</v>
      </c>
      <c r="O110" s="57">
        <v>1.621</v>
      </c>
      <c r="AG110" s="57">
        <v>2.11</v>
      </c>
      <c r="AH110" s="57">
        <v>1.254</v>
      </c>
      <c r="AJ110" s="57">
        <v>2.4820000000000002</v>
      </c>
      <c r="AM110" s="57">
        <v>2.6909999999999998</v>
      </c>
      <c r="AP110" s="57">
        <v>3.2970000000000002</v>
      </c>
      <c r="AS110" s="57">
        <v>2.6989999999999998</v>
      </c>
      <c r="BE110" s="57">
        <v>0.85519999999999996</v>
      </c>
      <c r="BF110" s="57">
        <v>0.47860000000000003</v>
      </c>
      <c r="BJ110" s="57" t="s">
        <v>321</v>
      </c>
    </row>
    <row r="111" spans="1:62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I111" s="57">
        <v>1.7450000000000001</v>
      </c>
      <c r="L111" s="57">
        <v>1.498</v>
      </c>
      <c r="O111" s="57">
        <v>1.538</v>
      </c>
      <c r="R111" s="57">
        <v>1.5780000000000001</v>
      </c>
      <c r="AG111" s="57">
        <v>1.73</v>
      </c>
      <c r="AH111" s="57">
        <v>0.99</v>
      </c>
      <c r="AJ111" s="57">
        <v>2.4649999999999999</v>
      </c>
      <c r="AM111" s="57">
        <v>2.4950000000000001</v>
      </c>
      <c r="BE111" s="57">
        <v>1.6424000000000001</v>
      </c>
      <c r="BF111" s="57">
        <v>0.91339999999999999</v>
      </c>
      <c r="BJ111" s="57" t="s">
        <v>322</v>
      </c>
    </row>
    <row r="112" spans="1:62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I112" s="57">
        <v>1.8180000000000001</v>
      </c>
      <c r="L112" s="57">
        <v>1.788</v>
      </c>
      <c r="AG112" s="57">
        <v>0.94</v>
      </c>
      <c r="AH112" s="57">
        <v>0.56100000000000005</v>
      </c>
      <c r="AJ112" s="57">
        <v>2.2909999999999999</v>
      </c>
      <c r="AM112" s="57">
        <v>2.2999999999999998</v>
      </c>
      <c r="AP112" s="57">
        <v>2.3420000000000001</v>
      </c>
      <c r="BE112" s="57">
        <v>2.5895000000000001</v>
      </c>
      <c r="BF112" s="57">
        <v>1.4461999999999999</v>
      </c>
    </row>
    <row r="113" spans="1:62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  <c r="BE113" s="57">
        <v>0.61150000000000004</v>
      </c>
      <c r="BF113" s="57">
        <v>0.34089999999999998</v>
      </c>
    </row>
    <row r="114" spans="1:62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  <c r="AJ114" s="57">
        <v>2.681</v>
      </c>
      <c r="AM114" s="57">
        <v>2.4009999999999998</v>
      </c>
      <c r="AP114" s="57">
        <v>2.3879999999999999</v>
      </c>
      <c r="BE114" s="57">
        <v>1.1425000000000001</v>
      </c>
      <c r="BF114" s="57">
        <v>0.62790000000000001</v>
      </c>
    </row>
    <row r="115" spans="1:62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  <c r="AJ115" s="57">
        <v>2.4329999999999998</v>
      </c>
      <c r="AM115" s="57">
        <v>2.278</v>
      </c>
      <c r="AP115" s="57">
        <v>2.371</v>
      </c>
      <c r="BE115" s="57">
        <v>1.4839</v>
      </c>
      <c r="BF115" s="57">
        <v>0.81420000000000003</v>
      </c>
    </row>
    <row r="116" spans="1:62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  <c r="AJ116" s="57">
        <v>2.266</v>
      </c>
      <c r="AM116" s="57">
        <v>2.1680000000000001</v>
      </c>
      <c r="AP116" s="57">
        <v>2.2789999999999999</v>
      </c>
      <c r="BE116" s="57">
        <v>0.66469999999999996</v>
      </c>
      <c r="BF116" s="57">
        <v>0.37390000000000001</v>
      </c>
    </row>
    <row r="117" spans="1:62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E117" s="57" t="s">
        <v>138</v>
      </c>
      <c r="I117" s="57">
        <v>3.1280000000000001</v>
      </c>
      <c r="L117" s="57">
        <v>2.8980000000000001</v>
      </c>
      <c r="O117" s="57">
        <v>2.6680000000000001</v>
      </c>
      <c r="R117" s="57">
        <v>2.8</v>
      </c>
      <c r="U117" s="57">
        <v>2.7120000000000002</v>
      </c>
      <c r="X117" s="57">
        <v>2.1280000000000001</v>
      </c>
      <c r="AG117" s="57">
        <v>0.61</v>
      </c>
      <c r="AH117" s="57">
        <v>0.32700000000000001</v>
      </c>
      <c r="BE117" s="57">
        <v>0.5847</v>
      </c>
      <c r="BF117" s="57">
        <v>0.29299999999999998</v>
      </c>
      <c r="BJ117" s="88" t="s">
        <v>323</v>
      </c>
    </row>
    <row r="118" spans="1:62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E118" s="57" t="s">
        <v>140</v>
      </c>
      <c r="BJ118" s="88"/>
    </row>
    <row r="119" spans="1:62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E119" s="57" t="s">
        <v>141</v>
      </c>
      <c r="AJ119" s="57">
        <v>3.62</v>
      </c>
      <c r="AM119" s="57">
        <v>3.63</v>
      </c>
      <c r="AP119" s="57">
        <v>3.65</v>
      </c>
      <c r="BE119" s="57">
        <v>0.31159999999999999</v>
      </c>
      <c r="BF119" s="57">
        <v>0.16619999999999999</v>
      </c>
    </row>
    <row r="120" spans="1:62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E120" s="57" t="s">
        <v>143</v>
      </c>
      <c r="AG120" s="57">
        <v>1.93</v>
      </c>
      <c r="AH120" s="57">
        <v>0.97799999999999998</v>
      </c>
      <c r="BE120" s="57">
        <v>2.1345000000000001</v>
      </c>
      <c r="BF120" s="57">
        <v>1.1295999999999999</v>
      </c>
      <c r="BJ120" s="57" t="s">
        <v>324</v>
      </c>
    </row>
    <row r="121" spans="1:62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E121" s="57" t="s">
        <v>144</v>
      </c>
      <c r="I121" s="57">
        <v>2.6890000000000001</v>
      </c>
      <c r="L121" s="57">
        <v>3.0880000000000001</v>
      </c>
      <c r="O121" s="57">
        <v>3.1880000000000002</v>
      </c>
      <c r="R121" s="57">
        <v>2.9980000000000002</v>
      </c>
      <c r="U121" s="57">
        <v>3.012</v>
      </c>
      <c r="X121" s="57">
        <v>3.4380000000000002</v>
      </c>
      <c r="AG121" s="57">
        <v>2.2200000000000002</v>
      </c>
      <c r="AH121" s="57">
        <v>1.1739999999999999</v>
      </c>
      <c r="BE121" s="57">
        <v>2.2262</v>
      </c>
      <c r="BF121" s="57">
        <v>1.0849</v>
      </c>
      <c r="BJ121" s="57" t="s">
        <v>325</v>
      </c>
    </row>
    <row r="122" spans="1:62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E122" s="57" t="s">
        <v>145</v>
      </c>
      <c r="AJ122" s="57">
        <v>4.1120000000000001</v>
      </c>
      <c r="AM122" s="57">
        <v>4.8879999999999999</v>
      </c>
      <c r="AP122" s="57">
        <v>4.8179999999999996</v>
      </c>
      <c r="AS122" s="57">
        <v>4.42</v>
      </c>
      <c r="AV122" s="57">
        <v>4.8319999999999999</v>
      </c>
      <c r="AY122" s="57">
        <v>4.1719999999999997</v>
      </c>
      <c r="BE122" s="57">
        <v>1.5427999999999999</v>
      </c>
    </row>
    <row r="123" spans="1:62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  <c r="AJ123" s="57">
        <v>2.161</v>
      </c>
      <c r="AM123" s="57">
        <v>1.7090000000000001</v>
      </c>
      <c r="AP123" s="57">
        <v>1.764</v>
      </c>
      <c r="AS123" s="57">
        <v>1.9419999999999999</v>
      </c>
      <c r="AV123" s="57">
        <v>1.7010000000000001</v>
      </c>
      <c r="AY123" s="57">
        <v>1.7190000000000001</v>
      </c>
      <c r="BE123" s="57">
        <v>1.0428999999999999</v>
      </c>
      <c r="BF123" s="57">
        <v>0.55100000000000005</v>
      </c>
      <c r="BG123" s="57">
        <v>1.5654999999999999</v>
      </c>
      <c r="BH123" s="57">
        <v>0.90649999999999997</v>
      </c>
    </row>
    <row r="124" spans="1:62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  <c r="AJ124" s="57">
        <v>1.1950000000000001</v>
      </c>
      <c r="AM124" s="57">
        <v>1.371</v>
      </c>
      <c r="AP124" s="57">
        <v>1.1719999999999999</v>
      </c>
      <c r="AS124" s="57">
        <v>1.3720000000000001</v>
      </c>
      <c r="AV124" s="57">
        <v>2.512</v>
      </c>
      <c r="AY124" s="57">
        <v>1.081</v>
      </c>
      <c r="BB124" s="57">
        <v>1.484</v>
      </c>
      <c r="BE124" s="57">
        <v>0.47539999999999999</v>
      </c>
      <c r="BF124" s="57">
        <v>0.23039999999999999</v>
      </c>
      <c r="BG124" s="57">
        <v>1.2411000000000001</v>
      </c>
      <c r="BH124" s="57">
        <v>0.73080000000000001</v>
      </c>
    </row>
    <row r="125" spans="1:62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  <c r="AJ125" s="57">
        <v>1.3</v>
      </c>
      <c r="AM125" s="57">
        <v>1.2809999999999999</v>
      </c>
      <c r="AP125" s="57">
        <v>1.302</v>
      </c>
      <c r="BE125" s="57">
        <v>1.3900999999999999</v>
      </c>
      <c r="BF125" s="57">
        <v>0.74360000000000004</v>
      </c>
      <c r="BG125" s="57">
        <v>0.88090000000000002</v>
      </c>
      <c r="BH125" s="57">
        <v>0.53149999999999997</v>
      </c>
    </row>
    <row r="126" spans="1:62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  <c r="AJ126" s="57">
        <v>2.1640000000000001</v>
      </c>
      <c r="AM126" s="57">
        <v>1.9870000000000001</v>
      </c>
      <c r="AP126" s="57">
        <v>1.8660000000000001</v>
      </c>
      <c r="BE126" s="57">
        <v>0.8165</v>
      </c>
      <c r="BF126" s="57">
        <v>0.42009999999999997</v>
      </c>
    </row>
    <row r="127" spans="1:62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  <c r="AJ127" s="57">
        <v>1.3520000000000001</v>
      </c>
      <c r="AM127" s="57">
        <v>1.139</v>
      </c>
      <c r="AP127" s="57">
        <v>1.4370000000000001</v>
      </c>
      <c r="BE127" s="57">
        <v>1.5204</v>
      </c>
      <c r="BF127" s="89">
        <v>0.59819999999999995</v>
      </c>
      <c r="BG127" s="57">
        <v>1.1121000000000001</v>
      </c>
      <c r="BH127" s="57">
        <v>0.65769999999999995</v>
      </c>
      <c r="BJ127" s="57" t="s">
        <v>326</v>
      </c>
    </row>
    <row r="128" spans="1:62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  <c r="AJ128" s="57">
        <v>1.3740000000000001</v>
      </c>
      <c r="AM128" s="57">
        <v>1.7430000000000001</v>
      </c>
      <c r="AP128" s="57">
        <v>1.841</v>
      </c>
      <c r="BE128" s="57">
        <v>1.0690999999999999</v>
      </c>
      <c r="BF128" s="57">
        <v>0.55389999999999995</v>
      </c>
    </row>
    <row r="129" spans="1:62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  <c r="AJ129" s="57">
        <v>1.7010000000000001</v>
      </c>
      <c r="AM129" s="57">
        <v>1.778</v>
      </c>
      <c r="BE129" s="57">
        <v>1.6681999999999999</v>
      </c>
      <c r="BF129" s="57">
        <v>0.85899999999999999</v>
      </c>
    </row>
    <row r="130" spans="1:62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  <c r="AJ130" s="57">
        <v>2.11</v>
      </c>
      <c r="AM130" s="57">
        <v>2.2810000000000001</v>
      </c>
      <c r="AP130" s="57">
        <v>2.3319999999999999</v>
      </c>
      <c r="BE130" s="57">
        <v>2.7854000000000001</v>
      </c>
      <c r="BF130" s="57">
        <v>1.4427000000000001</v>
      </c>
    </row>
    <row r="131" spans="1:62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  <c r="AJ131" s="57">
        <v>2.1819999999999999</v>
      </c>
      <c r="AM131" s="57">
        <v>2.3719999999999999</v>
      </c>
      <c r="AP131" s="57">
        <v>2.3319999999999999</v>
      </c>
      <c r="BE131" s="57">
        <v>1.2978000000000001</v>
      </c>
      <c r="BF131" s="57">
        <v>0.68510000000000004</v>
      </c>
    </row>
    <row r="132" spans="1:62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  <c r="I132" s="57">
        <v>1.3680000000000001</v>
      </c>
      <c r="L132" s="57">
        <v>1.5880000000000001</v>
      </c>
      <c r="O132" s="57">
        <v>1.621</v>
      </c>
      <c r="R132" s="57">
        <v>1.538</v>
      </c>
      <c r="AG132" s="57">
        <v>1.65</v>
      </c>
      <c r="AH132" s="57">
        <v>0.91200000000000003</v>
      </c>
      <c r="AJ132" s="57">
        <v>2.37</v>
      </c>
      <c r="AM132" s="57">
        <v>2.2559999999999998</v>
      </c>
      <c r="AP132" s="57">
        <v>2.0409999999999999</v>
      </c>
      <c r="AS132" s="57">
        <v>2.214</v>
      </c>
      <c r="BE132" s="57">
        <v>1.8409</v>
      </c>
      <c r="BF132" s="57">
        <v>0.995</v>
      </c>
      <c r="BG132" s="57">
        <v>3.3241999999999998</v>
      </c>
      <c r="BH132" s="57">
        <v>1.7994000000000001</v>
      </c>
      <c r="BJ132" s="57" t="s">
        <v>327</v>
      </c>
    </row>
    <row r="133" spans="1:62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  <c r="I133" s="57">
        <v>1.2809999999999999</v>
      </c>
      <c r="L133" s="57">
        <v>1.2689999999999999</v>
      </c>
      <c r="O133" s="57">
        <v>1.2909999999999999</v>
      </c>
      <c r="AG133" s="57">
        <v>2.06</v>
      </c>
      <c r="AH133" s="57">
        <v>1.1930000000000001</v>
      </c>
      <c r="AJ133" s="57">
        <v>2.1440000000000001</v>
      </c>
      <c r="AM133" s="57">
        <v>2.04</v>
      </c>
      <c r="BE133" s="57">
        <v>1.0145</v>
      </c>
      <c r="BF133" s="57">
        <v>0.55359999999999998</v>
      </c>
    </row>
    <row r="134" spans="1:62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  <c r="I134" s="57">
        <v>1.294</v>
      </c>
      <c r="L134" s="57">
        <v>1.3959999999999999</v>
      </c>
      <c r="O134" s="57">
        <v>1.478</v>
      </c>
      <c r="R134" s="57">
        <v>1.208</v>
      </c>
      <c r="AG134" s="57">
        <v>3.29</v>
      </c>
      <c r="AH134" s="57">
        <v>1.774</v>
      </c>
      <c r="AJ134" s="57">
        <v>2.0910000000000002</v>
      </c>
      <c r="AM134" s="57">
        <v>2.0350000000000001</v>
      </c>
      <c r="BF134" s="57">
        <v>1.1778</v>
      </c>
      <c r="BJ134" s="57" t="s">
        <v>328</v>
      </c>
    </row>
    <row r="135" spans="1:62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  <c r="I135" s="57">
        <v>1.27</v>
      </c>
      <c r="L135" s="57">
        <v>1.0880000000000001</v>
      </c>
      <c r="O135" s="57">
        <v>1.089</v>
      </c>
      <c r="R135" s="57">
        <v>1.3580000000000001</v>
      </c>
      <c r="U135" s="57">
        <v>1.4790000000000001</v>
      </c>
      <c r="X135" s="57">
        <v>1.089</v>
      </c>
      <c r="AA135" s="57">
        <v>1.18</v>
      </c>
      <c r="AG135" s="57">
        <v>2.9</v>
      </c>
      <c r="AH135" s="57">
        <v>1.9350000000000001</v>
      </c>
      <c r="AJ135" s="57">
        <v>1.9710000000000001</v>
      </c>
      <c r="AM135" s="57">
        <v>1.6879999999999999</v>
      </c>
      <c r="AP135" s="57">
        <v>1.8879999999999999</v>
      </c>
      <c r="BE135" s="57">
        <v>0.99299999999999999</v>
      </c>
      <c r="BF135" s="57">
        <v>0.54300000000000004</v>
      </c>
      <c r="BG135" s="57">
        <v>1.9233</v>
      </c>
      <c r="BH135" s="57">
        <v>1.1540999999999999</v>
      </c>
    </row>
    <row r="136" spans="1:62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  <c r="I136" s="57">
        <v>1.2509999999999999</v>
      </c>
      <c r="L136" s="57">
        <v>1.389</v>
      </c>
      <c r="O136" s="57">
        <v>1.3979999999999999</v>
      </c>
      <c r="AG136" s="57">
        <v>1.78</v>
      </c>
      <c r="AH136" s="57">
        <v>1.018</v>
      </c>
      <c r="AJ136" s="57">
        <v>2.1589999999999998</v>
      </c>
      <c r="AM136" s="57">
        <v>2.3119999999999998</v>
      </c>
      <c r="AP136" s="57">
        <v>2.1509999999999998</v>
      </c>
      <c r="BE136" s="57">
        <v>1.1286</v>
      </c>
      <c r="BF136" s="57">
        <v>0.62170000000000003</v>
      </c>
    </row>
    <row r="137" spans="1:62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  <c r="I137" s="57">
        <v>1.778</v>
      </c>
      <c r="L137" s="57">
        <v>1.968</v>
      </c>
      <c r="O137" s="57">
        <v>1.9019999999999999</v>
      </c>
      <c r="R137" s="57">
        <v>1.5529999999999999</v>
      </c>
      <c r="U137" s="57">
        <v>1.6879999999999999</v>
      </c>
      <c r="X137" s="57">
        <v>1.579</v>
      </c>
      <c r="AA137" s="57">
        <v>1.498</v>
      </c>
      <c r="AG137" s="57">
        <v>0.76</v>
      </c>
      <c r="AH137" s="57">
        <v>0.43099999999999999</v>
      </c>
      <c r="AJ137" s="57">
        <v>1.9470000000000001</v>
      </c>
      <c r="AM137" s="57">
        <v>1.962</v>
      </c>
      <c r="BE137" s="57">
        <v>2.0064000000000002</v>
      </c>
      <c r="BF137" s="57">
        <v>1.0935999999999999</v>
      </c>
    </row>
    <row r="138" spans="1:62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  <c r="AG138" s="57">
        <v>1.46</v>
      </c>
      <c r="AH138" s="57">
        <v>0.87</v>
      </c>
      <c r="AJ138" s="57">
        <v>2.5910000000000002</v>
      </c>
      <c r="AM138" s="57">
        <v>2.7869999999999999</v>
      </c>
      <c r="AP138" s="57">
        <v>2.52</v>
      </c>
      <c r="BE138" s="57">
        <v>1.7582</v>
      </c>
      <c r="BF138" s="57">
        <v>0.99329999999999996</v>
      </c>
    </row>
    <row r="139" spans="1:62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  <c r="I139" s="57">
        <v>1.96</v>
      </c>
      <c r="L139" s="57">
        <v>1.7190000000000001</v>
      </c>
      <c r="O139" s="57">
        <v>1.9610000000000001</v>
      </c>
      <c r="R139" s="57">
        <v>1.4810000000000001</v>
      </c>
      <c r="AG139" s="57">
        <v>1.4</v>
      </c>
      <c r="AH139" s="57">
        <v>0.80400000000000005</v>
      </c>
      <c r="AJ139" s="57">
        <v>2.21</v>
      </c>
      <c r="AM139" s="57">
        <v>2.7010000000000001</v>
      </c>
      <c r="AP139" s="57">
        <v>2.621</v>
      </c>
      <c r="BE139" s="57">
        <v>1.7924</v>
      </c>
      <c r="BF139" s="57">
        <v>0.99280000000000002</v>
      </c>
    </row>
    <row r="140" spans="1:62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  <c r="I140" s="57">
        <v>1.9610000000000001</v>
      </c>
      <c r="L140" s="57">
        <v>2.008</v>
      </c>
      <c r="AG140" s="57">
        <v>1.5</v>
      </c>
      <c r="AH140" s="57">
        <v>0.94099999999999995</v>
      </c>
      <c r="AJ140" s="57">
        <v>2.113</v>
      </c>
      <c r="AM140" s="57">
        <v>2.0070000000000001</v>
      </c>
      <c r="AP140" s="57">
        <v>2.1019999999999999</v>
      </c>
      <c r="BE140" s="33">
        <f>1.6255-0.0279</f>
        <v>1.5975999999999999</v>
      </c>
      <c r="BF140" s="57">
        <v>0.93140000000000001</v>
      </c>
    </row>
    <row r="141" spans="1:62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  <c r="I141" s="57">
        <v>1.3979999999999999</v>
      </c>
      <c r="L141" s="57">
        <v>1.448</v>
      </c>
      <c r="O141" s="57">
        <v>2.86</v>
      </c>
      <c r="R141" s="57">
        <v>1.758</v>
      </c>
      <c r="U141" s="57">
        <v>1.8879999999999999</v>
      </c>
      <c r="X141" s="57">
        <v>1.3879999999999999</v>
      </c>
      <c r="AA141" s="57">
        <v>2.343</v>
      </c>
      <c r="AG141" s="57">
        <v>2.25</v>
      </c>
      <c r="AH141" s="57">
        <v>1.323</v>
      </c>
      <c r="AJ141" s="57">
        <v>2.0499999999999998</v>
      </c>
      <c r="AM141" s="57">
        <v>2.153</v>
      </c>
      <c r="AP141" s="57">
        <v>1.3839999999999999</v>
      </c>
      <c r="AS141" s="57">
        <v>2.2250000000000001</v>
      </c>
      <c r="AV141" s="57">
        <v>2.1909999999999998</v>
      </c>
      <c r="BE141" s="57">
        <v>1.1543000000000001</v>
      </c>
      <c r="BF141" s="57">
        <v>0.6351</v>
      </c>
      <c r="BG141" s="57">
        <v>0.69899999999999995</v>
      </c>
      <c r="BH141" s="57">
        <v>0.4294</v>
      </c>
    </row>
    <row r="142" spans="1:62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  <c r="I142" s="57">
        <v>1.2709999999999999</v>
      </c>
      <c r="L142" s="57">
        <v>1.288</v>
      </c>
      <c r="O142" s="57">
        <v>1.2010000000000001</v>
      </c>
      <c r="R142" s="57">
        <v>1.2809999999999999</v>
      </c>
      <c r="AG142" s="57">
        <v>1.54</v>
      </c>
      <c r="AH142" s="57">
        <v>0.89700000000000002</v>
      </c>
      <c r="AJ142" s="57">
        <v>1.954</v>
      </c>
      <c r="AM142" s="57">
        <v>2.165</v>
      </c>
      <c r="AP142" s="57">
        <v>1.5920000000000001</v>
      </c>
      <c r="AS142" s="57">
        <v>1.7370000000000001</v>
      </c>
      <c r="AV142" s="57">
        <v>2.008</v>
      </c>
      <c r="BE142" s="57">
        <v>0.83130000000000004</v>
      </c>
      <c r="BF142" s="57">
        <v>0.46039999999999998</v>
      </c>
      <c r="BG142" s="57">
        <v>1.0546</v>
      </c>
      <c r="BH142" s="57">
        <v>0.64780000000000004</v>
      </c>
    </row>
    <row r="143" spans="1:62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  <c r="I143" s="57">
        <v>1.708</v>
      </c>
      <c r="L143" s="57">
        <v>1.6579999999999999</v>
      </c>
      <c r="AG143" s="57">
        <v>1.66</v>
      </c>
      <c r="AH143" s="57">
        <v>0.97</v>
      </c>
      <c r="AJ143" s="57">
        <v>3.149</v>
      </c>
      <c r="AM143" s="57">
        <v>2.851</v>
      </c>
      <c r="AP143" s="57">
        <v>2.6429999999999998</v>
      </c>
      <c r="AS143" s="57">
        <v>2.5009999999999999</v>
      </c>
      <c r="BE143" s="57">
        <v>2.5127000000000002</v>
      </c>
      <c r="BF143" s="57">
        <v>1.389</v>
      </c>
    </row>
    <row r="144" spans="1:62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  <c r="AJ144" s="57">
        <v>2.5489999999999999</v>
      </c>
      <c r="AM144" s="57">
        <v>2.3519999999999999</v>
      </c>
      <c r="AP144" s="57">
        <v>2.4689999999999999</v>
      </c>
      <c r="BE144" s="57">
        <v>0.76080000000000003</v>
      </c>
      <c r="BF144" s="57">
        <v>0.41120000000000001</v>
      </c>
    </row>
    <row r="145" spans="1:65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  <c r="AJ145" s="57">
        <v>2.2240000000000002</v>
      </c>
      <c r="AM145" s="57">
        <v>2.3479999999999999</v>
      </c>
      <c r="AP145" s="57">
        <v>1.7649999999999999</v>
      </c>
      <c r="BE145" s="57">
        <v>0.87819999999999998</v>
      </c>
      <c r="BF145" s="57">
        <v>0.45979999999999999</v>
      </c>
    </row>
    <row r="146" spans="1:65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</row>
    <row r="147" spans="1:65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  <c r="AJ147" s="57">
        <v>2.5139999999999998</v>
      </c>
      <c r="AM147" s="57">
        <v>2.5510000000000002</v>
      </c>
      <c r="BE147" s="57">
        <v>0.75349999999999995</v>
      </c>
      <c r="BF147" s="57">
        <v>0.40360000000000001</v>
      </c>
    </row>
    <row r="148" spans="1:65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  <c r="AJ148" s="57">
        <v>2.5640000000000001</v>
      </c>
      <c r="AM148" s="57">
        <v>2.5059999999999998</v>
      </c>
      <c r="BE148" s="57">
        <v>1.8413999999999999</v>
      </c>
      <c r="BF148" s="57">
        <v>1.0036</v>
      </c>
      <c r="BJ148" s="57" t="s">
        <v>329</v>
      </c>
    </row>
    <row r="149" spans="1:65" x14ac:dyDescent="0.2">
      <c r="A149" s="57" t="s">
        <v>114</v>
      </c>
      <c r="B149" s="76" t="s">
        <v>133</v>
      </c>
      <c r="D149" s="54" t="s">
        <v>64</v>
      </c>
      <c r="E149" s="57">
        <v>2011</v>
      </c>
      <c r="I149" s="57">
        <v>1.4870000000000001</v>
      </c>
      <c r="L149" s="57">
        <v>1.6819999999999999</v>
      </c>
      <c r="O149" s="57">
        <v>1.5489999999999999</v>
      </c>
      <c r="R149" s="57">
        <v>1.6140000000000001</v>
      </c>
      <c r="AG149" s="57">
        <v>1.82</v>
      </c>
      <c r="AH149" s="57">
        <v>1.071</v>
      </c>
      <c r="AJ149" s="57">
        <v>2.2850000000000001</v>
      </c>
      <c r="AM149" s="57">
        <v>2.3180000000000001</v>
      </c>
      <c r="BE149" s="57">
        <v>1.4423999999999999</v>
      </c>
      <c r="BF149" s="57">
        <v>0.80410000000000004</v>
      </c>
    </row>
    <row r="150" spans="1:65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  <c r="I150" s="57">
        <v>1.64</v>
      </c>
      <c r="L150" s="57">
        <v>1.329</v>
      </c>
      <c r="O150" s="57">
        <v>1.528</v>
      </c>
      <c r="R150" s="57">
        <v>1.488</v>
      </c>
      <c r="AG150" s="57">
        <v>3.12</v>
      </c>
      <c r="AH150" s="57">
        <v>1.776</v>
      </c>
      <c r="AJ150" s="57">
        <v>2.278</v>
      </c>
      <c r="AM150" s="57">
        <v>2.2919999999999998</v>
      </c>
      <c r="BE150" s="57">
        <v>5.1695000000000002</v>
      </c>
      <c r="BF150" s="57">
        <v>2.8126000000000002</v>
      </c>
    </row>
    <row r="151" spans="1:65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  <c r="I151" s="57">
        <v>1.5229999999999999</v>
      </c>
      <c r="L151" s="57">
        <v>1.6739999999999999</v>
      </c>
      <c r="O151" s="57">
        <v>1.7909999999999999</v>
      </c>
      <c r="AG151" s="57">
        <v>1.24</v>
      </c>
      <c r="AH151" s="57">
        <v>0.72599999999999998</v>
      </c>
      <c r="AJ151" s="57">
        <v>2.9849999999999999</v>
      </c>
      <c r="AM151" s="57">
        <v>2.8490000000000002</v>
      </c>
      <c r="AP151" s="57">
        <v>2.6850000000000001</v>
      </c>
      <c r="BE151" s="57">
        <v>1.4605999999999999</v>
      </c>
      <c r="BF151" s="57">
        <v>0.82389999999999997</v>
      </c>
    </row>
    <row r="152" spans="1:65" x14ac:dyDescent="0.2">
      <c r="A152" s="57" t="s">
        <v>134</v>
      </c>
      <c r="B152" s="76" t="s">
        <v>135</v>
      </c>
      <c r="D152" s="54" t="s">
        <v>64</v>
      </c>
      <c r="E152" s="57">
        <v>2008</v>
      </c>
    </row>
    <row r="153" spans="1:65" x14ac:dyDescent="0.2">
      <c r="C153" s="90"/>
      <c r="D153" s="91" t="s">
        <v>64</v>
      </c>
      <c r="E153" s="89">
        <v>2084</v>
      </c>
      <c r="AJ153" s="57">
        <v>2.0379999999999998</v>
      </c>
      <c r="AM153" s="57">
        <v>1.9850000000000001</v>
      </c>
      <c r="AP153" s="57">
        <v>2.0819999999999999</v>
      </c>
      <c r="BE153" s="57">
        <v>2.1328999999999998</v>
      </c>
      <c r="BF153" s="57">
        <v>1.1452</v>
      </c>
      <c r="BJ153" s="57" t="s">
        <v>330</v>
      </c>
    </row>
    <row r="154" spans="1:65" x14ac:dyDescent="0.2">
      <c r="C154" s="80"/>
      <c r="D154" s="92" t="s">
        <v>58</v>
      </c>
      <c r="E154" s="81">
        <v>2076</v>
      </c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1">
        <v>1.99</v>
      </c>
      <c r="AH154" s="81">
        <v>1.2609999999999999</v>
      </c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1" t="s">
        <v>331</v>
      </c>
      <c r="BK154" s="80"/>
      <c r="BL154" s="80"/>
      <c r="BM154" s="80"/>
    </row>
    <row r="155" spans="1:65" x14ac:dyDescent="0.2">
      <c r="D155" s="3"/>
    </row>
    <row r="156" spans="1:65" x14ac:dyDescent="0.2">
      <c r="D156" s="3"/>
    </row>
    <row r="157" spans="1:65" x14ac:dyDescent="0.2">
      <c r="D157" s="3"/>
    </row>
    <row r="158" spans="1:65" x14ac:dyDescent="0.2">
      <c r="D158" s="3"/>
    </row>
    <row r="159" spans="1:65" x14ac:dyDescent="0.2">
      <c r="D159" s="3"/>
    </row>
    <row r="160" spans="1:65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BO312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7" x14ac:dyDescent="0.2">
      <c r="C1" s="74" t="s">
        <v>207</v>
      </c>
      <c r="D1" s="1"/>
      <c r="E1" s="1"/>
    </row>
    <row r="3" spans="1:67" x14ac:dyDescent="0.2">
      <c r="C3" s="12" t="s">
        <v>1</v>
      </c>
      <c r="D3" s="38" t="s">
        <v>208</v>
      </c>
      <c r="E3" s="12"/>
    </row>
    <row r="4" spans="1:67" x14ac:dyDescent="0.2">
      <c r="C4" s="12" t="s">
        <v>3</v>
      </c>
      <c r="D4" s="77">
        <v>44704</v>
      </c>
    </row>
    <row r="6" spans="1:67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332</v>
      </c>
      <c r="AH6" s="30" t="s">
        <v>333</v>
      </c>
      <c r="AI6" s="30" t="s">
        <v>334</v>
      </c>
      <c r="AJ6" s="30" t="s">
        <v>335</v>
      </c>
      <c r="AK6" s="30" t="s">
        <v>236</v>
      </c>
      <c r="AL6" s="30" t="s">
        <v>237</v>
      </c>
      <c r="AM6" s="30" t="s">
        <v>238</v>
      </c>
      <c r="AN6" s="30" t="s">
        <v>239</v>
      </c>
      <c r="AO6" s="30" t="s">
        <v>240</v>
      </c>
      <c r="AP6" s="30" t="s">
        <v>241</v>
      </c>
      <c r="AQ6" s="30" t="s">
        <v>242</v>
      </c>
      <c r="AR6" s="30" t="s">
        <v>243</v>
      </c>
      <c r="AS6" s="30" t="s">
        <v>244</v>
      </c>
      <c r="AT6" s="30" t="s">
        <v>245</v>
      </c>
      <c r="AU6" s="30" t="s">
        <v>246</v>
      </c>
      <c r="AV6" s="30" t="s">
        <v>247</v>
      </c>
      <c r="AW6" s="30" t="s">
        <v>248</v>
      </c>
      <c r="AX6" s="30" t="s">
        <v>249</v>
      </c>
      <c r="AY6" s="30" t="s">
        <v>250</v>
      </c>
      <c r="AZ6" s="30" t="s">
        <v>251</v>
      </c>
      <c r="BA6" s="30" t="s">
        <v>252</v>
      </c>
      <c r="BB6" s="30" t="s">
        <v>253</v>
      </c>
      <c r="BC6" s="30" t="s">
        <v>254</v>
      </c>
      <c r="BD6" s="30" t="s">
        <v>255</v>
      </c>
      <c r="BE6" s="30" t="s">
        <v>256</v>
      </c>
      <c r="BF6" s="30" t="s">
        <v>257</v>
      </c>
      <c r="BG6" s="30" t="s">
        <v>336</v>
      </c>
      <c r="BH6" s="30" t="s">
        <v>337</v>
      </c>
      <c r="BI6" s="30" t="s">
        <v>338</v>
      </c>
      <c r="BJ6" s="30" t="s">
        <v>339</v>
      </c>
      <c r="BK6" s="30" t="s">
        <v>260</v>
      </c>
      <c r="BL6" s="29" t="s">
        <v>26</v>
      </c>
      <c r="BM6" s="9"/>
      <c r="BN6" s="9"/>
      <c r="BO6" s="9"/>
    </row>
    <row r="7" spans="1:67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I7" s="57">
        <v>1.4319999999999999</v>
      </c>
      <c r="L7" s="57">
        <v>1.371</v>
      </c>
      <c r="O7" s="57">
        <v>1.341</v>
      </c>
      <c r="R7" s="57">
        <v>1.504</v>
      </c>
      <c r="AG7" s="57">
        <v>0.97</v>
      </c>
      <c r="AH7" s="57">
        <v>0.629</v>
      </c>
      <c r="AL7" s="57">
        <v>3.5009999999999999</v>
      </c>
      <c r="AO7" s="57">
        <v>3.7</v>
      </c>
      <c r="AR7" s="57">
        <v>4.5170000000000003</v>
      </c>
      <c r="AU7" s="57">
        <v>4.3230000000000004</v>
      </c>
      <c r="AX7" s="57">
        <v>4.7759999999999998</v>
      </c>
      <c r="BG7" s="57">
        <v>1.4457</v>
      </c>
      <c r="BH7" s="57">
        <v>0.99199999999999999</v>
      </c>
      <c r="BK7" s="33">
        <f t="shared" ref="BK7:BK152" si="0">AVERAGE(BD7,BA7,AX7,AU7,AR7,AO7,AL7)</f>
        <v>4.1634000000000002</v>
      </c>
    </row>
    <row r="8" spans="1:67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  <c r="BK8" s="33" t="e">
        <f t="shared" si="0"/>
        <v>#DIV/0!</v>
      </c>
    </row>
    <row r="9" spans="1:67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I9" s="57">
        <v>1.212</v>
      </c>
      <c r="L9" s="57">
        <v>1.3560000000000001</v>
      </c>
      <c r="O9" s="57">
        <v>1.361</v>
      </c>
      <c r="R9" s="57">
        <v>1.421</v>
      </c>
      <c r="AG9" s="57">
        <v>1.31</v>
      </c>
      <c r="AH9" s="57">
        <v>0.81899999999999995</v>
      </c>
      <c r="AL9" s="57">
        <v>4.0309999999999997</v>
      </c>
      <c r="AO9" s="57">
        <v>3.4670000000000001</v>
      </c>
      <c r="AR9" s="57">
        <v>3.5310000000000001</v>
      </c>
      <c r="BK9" s="33">
        <f t="shared" si="0"/>
        <v>3.6763333333333335</v>
      </c>
    </row>
    <row r="10" spans="1:67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  <c r="BK10" s="33" t="e">
        <f t="shared" si="0"/>
        <v>#DIV/0!</v>
      </c>
    </row>
    <row r="11" spans="1:67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BK11" s="33" t="e">
        <f t="shared" si="0"/>
        <v>#DIV/0!</v>
      </c>
    </row>
    <row r="12" spans="1:67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  <c r="BK12" s="33" t="e">
        <f t="shared" si="0"/>
        <v>#DIV/0!</v>
      </c>
    </row>
    <row r="13" spans="1:67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  <c r="BK13" s="33" t="e">
        <f t="shared" si="0"/>
        <v>#DIV/0!</v>
      </c>
    </row>
    <row r="14" spans="1:67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BK14" s="33" t="e">
        <f t="shared" si="0"/>
        <v>#DIV/0!</v>
      </c>
    </row>
    <row r="15" spans="1:67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  <c r="BK15" s="33" t="e">
        <f t="shared" si="0"/>
        <v>#DIV/0!</v>
      </c>
    </row>
    <row r="16" spans="1:67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  <c r="BK16" s="33" t="e">
        <f t="shared" si="0"/>
        <v>#DIV/0!</v>
      </c>
    </row>
    <row r="17" spans="1:64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BK17" s="33" t="e">
        <f t="shared" si="0"/>
        <v>#DIV/0!</v>
      </c>
    </row>
    <row r="18" spans="1:64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I18" s="57">
        <v>2.157</v>
      </c>
      <c r="L18" s="57">
        <v>1.958</v>
      </c>
      <c r="O18" s="57">
        <v>2.2709999999999999</v>
      </c>
      <c r="R18" s="57">
        <v>2.1509999999999998</v>
      </c>
      <c r="AG18" s="57">
        <v>2.23</v>
      </c>
      <c r="AH18" s="57">
        <v>1.2130000000000001</v>
      </c>
      <c r="AL18" s="57">
        <v>3.234</v>
      </c>
      <c r="AO18" s="57">
        <v>3.1890000000000001</v>
      </c>
      <c r="AR18" s="57">
        <v>3.4</v>
      </c>
      <c r="AU18" s="57">
        <v>3.286</v>
      </c>
      <c r="BG18" s="57">
        <v>1.0895999999999999</v>
      </c>
      <c r="BH18" s="57">
        <v>0.63800000000000001</v>
      </c>
      <c r="BK18" s="33">
        <f t="shared" si="0"/>
        <v>3.27725</v>
      </c>
    </row>
    <row r="19" spans="1:64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  <c r="BK19" s="33" t="e">
        <f t="shared" si="0"/>
        <v>#DIV/0!</v>
      </c>
    </row>
    <row r="20" spans="1:64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BK20" s="33" t="e">
        <f t="shared" si="0"/>
        <v>#DIV/0!</v>
      </c>
    </row>
    <row r="21" spans="1:64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  <c r="BK21" s="33" t="e">
        <f t="shared" si="0"/>
        <v>#DIV/0!</v>
      </c>
    </row>
    <row r="22" spans="1:64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  <c r="BK22" s="33" t="e">
        <f t="shared" si="0"/>
        <v>#DIV/0!</v>
      </c>
    </row>
    <row r="23" spans="1:64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  <c r="BK23" s="33" t="e">
        <f t="shared" si="0"/>
        <v>#DIV/0!</v>
      </c>
    </row>
    <row r="24" spans="1:64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G24" s="57">
        <v>10</v>
      </c>
      <c r="I24" s="57">
        <v>1.7729999999999999</v>
      </c>
      <c r="L24" s="57">
        <v>1.82</v>
      </c>
      <c r="O24" s="57">
        <v>2.04</v>
      </c>
      <c r="AG24" s="57">
        <v>0.57999999999999996</v>
      </c>
      <c r="AH24" s="57">
        <v>0.314</v>
      </c>
      <c r="AL24" s="57">
        <v>3.0430000000000001</v>
      </c>
      <c r="AO24" s="57">
        <v>2.9119999999999999</v>
      </c>
      <c r="AR24" s="57">
        <v>2.9630000000000001</v>
      </c>
      <c r="BG24" s="57">
        <v>0.9718</v>
      </c>
      <c r="BH24" s="57">
        <v>0.54900000000000004</v>
      </c>
      <c r="BK24" s="33">
        <f t="shared" si="0"/>
        <v>2.9726666666666666</v>
      </c>
    </row>
    <row r="25" spans="1:64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  <c r="BK25" s="33" t="e">
        <f t="shared" si="0"/>
        <v>#DIV/0!</v>
      </c>
    </row>
    <row r="26" spans="1:64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BK26" s="33" t="e">
        <f t="shared" si="0"/>
        <v>#DIV/0!</v>
      </c>
    </row>
    <row r="27" spans="1:64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G27" s="57">
        <v>10</v>
      </c>
      <c r="I27" s="57">
        <v>2.0230000000000001</v>
      </c>
      <c r="L27" s="57">
        <v>2.0009999999999999</v>
      </c>
      <c r="AG27" s="57">
        <v>0.82</v>
      </c>
      <c r="AH27" s="57">
        <v>0.45200000000000001</v>
      </c>
      <c r="AL27" s="57">
        <v>3.01</v>
      </c>
      <c r="AO27" s="57">
        <v>2.99</v>
      </c>
      <c r="AR27" s="57">
        <v>2.8809999999999998</v>
      </c>
      <c r="BG27" s="57">
        <v>1.2738</v>
      </c>
      <c r="BH27" s="57">
        <v>0.73699999999999999</v>
      </c>
      <c r="BK27" s="33">
        <f t="shared" si="0"/>
        <v>2.9603333333333333</v>
      </c>
    </row>
    <row r="28" spans="1:64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BK28" s="33" t="e">
        <f t="shared" si="0"/>
        <v>#DIV/0!</v>
      </c>
    </row>
    <row r="29" spans="1:64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BK29" s="33" t="e">
        <f t="shared" si="0"/>
        <v>#DIV/0!</v>
      </c>
    </row>
    <row r="30" spans="1:64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G30" s="57">
        <v>10</v>
      </c>
      <c r="I30" s="57">
        <v>1.8120000000000001</v>
      </c>
      <c r="L30" s="57">
        <v>1.982</v>
      </c>
      <c r="O30" s="57">
        <v>1.9</v>
      </c>
      <c r="AG30" s="57">
        <v>1.54</v>
      </c>
      <c r="AH30" s="57">
        <v>0.83899999999999997</v>
      </c>
      <c r="AL30" s="57">
        <v>3.67</v>
      </c>
      <c r="AO30" s="57">
        <v>3.79</v>
      </c>
      <c r="AR30" s="57">
        <v>3.7</v>
      </c>
      <c r="BG30" s="57">
        <v>2.36</v>
      </c>
      <c r="BH30" s="57">
        <v>1.3140000000000001</v>
      </c>
      <c r="BK30" s="33">
        <f t="shared" si="0"/>
        <v>3.72</v>
      </c>
      <c r="BL30" s="57" t="s">
        <v>340</v>
      </c>
    </row>
    <row r="31" spans="1:64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I31" s="57">
        <v>0.83899999999999997</v>
      </c>
      <c r="L31" s="57">
        <v>1.1100000000000001</v>
      </c>
      <c r="O31" s="57">
        <v>1.556</v>
      </c>
      <c r="R31" s="57">
        <v>1.331</v>
      </c>
      <c r="U31" s="57">
        <v>1.1859999999999999</v>
      </c>
      <c r="AG31" s="57">
        <v>1.46</v>
      </c>
      <c r="AH31" s="57">
        <v>0.88</v>
      </c>
      <c r="AL31" s="57">
        <v>2.6150000000000002</v>
      </c>
      <c r="AO31" s="57">
        <v>2.3860000000000001</v>
      </c>
      <c r="AR31" s="57">
        <v>2.056</v>
      </c>
      <c r="AU31" s="57">
        <v>2.343</v>
      </c>
      <c r="BG31" s="57">
        <v>2.4472</v>
      </c>
      <c r="BH31" s="57">
        <v>1.5429999999999999</v>
      </c>
      <c r="BK31" s="33">
        <f t="shared" si="0"/>
        <v>2.35</v>
      </c>
    </row>
    <row r="32" spans="1:64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I32" s="57">
        <v>0.89900000000000002</v>
      </c>
      <c r="L32" s="57">
        <v>1.0189999999999999</v>
      </c>
      <c r="O32" s="57">
        <v>0.82</v>
      </c>
      <c r="R32" s="57">
        <v>0.97799999999999998</v>
      </c>
      <c r="U32" s="57">
        <v>1.06</v>
      </c>
      <c r="X32" s="57">
        <v>0.65800000000000003</v>
      </c>
      <c r="AG32" s="57">
        <v>1.04</v>
      </c>
      <c r="AH32" s="57">
        <v>0.67200000000000004</v>
      </c>
      <c r="AL32" s="57">
        <v>1.464</v>
      </c>
      <c r="AO32" s="57">
        <v>1.728</v>
      </c>
      <c r="AR32" s="57">
        <v>1.5309999999999999</v>
      </c>
      <c r="AU32" s="57">
        <v>1.74</v>
      </c>
      <c r="BG32" s="57">
        <v>1.1828000000000001</v>
      </c>
      <c r="BH32" s="57">
        <v>0.754</v>
      </c>
      <c r="BK32" s="33">
        <f t="shared" si="0"/>
        <v>1.6157499999999998</v>
      </c>
    </row>
    <row r="33" spans="1:63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I33" s="57">
        <v>1.6879999999999999</v>
      </c>
      <c r="L33" s="57">
        <v>1.7310000000000001</v>
      </c>
      <c r="O33" s="57">
        <v>1.6879999999999999</v>
      </c>
      <c r="AG33" s="57">
        <v>1.0900000000000001</v>
      </c>
      <c r="AH33" s="57">
        <v>0.58699999999999997</v>
      </c>
      <c r="AL33" s="57">
        <v>3.3610000000000002</v>
      </c>
      <c r="AO33" s="57">
        <v>3.1869999999999998</v>
      </c>
      <c r="AR33" s="57">
        <v>2.778</v>
      </c>
      <c r="AU33" s="57">
        <v>3.3730000000000002</v>
      </c>
      <c r="AX33" s="57">
        <v>3.2610000000000001</v>
      </c>
      <c r="BG33" s="57">
        <v>1.9470000000000001</v>
      </c>
      <c r="BH33" s="57">
        <v>1.1060000000000001</v>
      </c>
      <c r="BK33" s="33">
        <f t="shared" si="0"/>
        <v>3.1920000000000002</v>
      </c>
    </row>
    <row r="34" spans="1:63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I34" s="57">
        <v>2.371</v>
      </c>
      <c r="L34" s="57">
        <v>2.2010000000000001</v>
      </c>
      <c r="AG34" s="57">
        <v>1.86</v>
      </c>
      <c r="AH34" s="57">
        <v>0.98899999999999999</v>
      </c>
      <c r="AL34" s="57">
        <v>3.3410000000000002</v>
      </c>
      <c r="AO34" s="57">
        <v>3.31</v>
      </c>
      <c r="BG34" s="57">
        <v>1.4483999999999999</v>
      </c>
      <c r="BH34" s="57">
        <v>0.85299999999999998</v>
      </c>
      <c r="BK34" s="33">
        <f t="shared" si="0"/>
        <v>3.3254999999999999</v>
      </c>
    </row>
    <row r="35" spans="1:63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I35" s="57">
        <v>0.89300000000000002</v>
      </c>
      <c r="L35" s="57">
        <v>0.78900000000000003</v>
      </c>
      <c r="O35" s="57">
        <v>0.91800000000000004</v>
      </c>
      <c r="R35" s="57">
        <v>0.64300000000000002</v>
      </c>
      <c r="U35" s="57">
        <v>0.92800000000000005</v>
      </c>
      <c r="X35" s="57">
        <v>0.93100000000000005</v>
      </c>
      <c r="AG35" s="57">
        <v>0.12</v>
      </c>
      <c r="AH35" s="57">
        <v>7.3999999999999996E-2</v>
      </c>
      <c r="AI35" s="57">
        <v>1.03</v>
      </c>
      <c r="AJ35" s="57">
        <v>0.629</v>
      </c>
      <c r="AL35" s="57">
        <v>3.65</v>
      </c>
      <c r="AO35" s="57">
        <v>3.83</v>
      </c>
      <c r="AR35" s="57">
        <v>3.86</v>
      </c>
      <c r="BG35" s="57">
        <v>1.89</v>
      </c>
      <c r="BH35" s="57">
        <v>1.206</v>
      </c>
      <c r="BK35" s="33">
        <f t="shared" si="0"/>
        <v>3.78</v>
      </c>
    </row>
    <row r="36" spans="1:63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  <c r="BK36" s="33" t="e">
        <f t="shared" si="0"/>
        <v>#DIV/0!</v>
      </c>
    </row>
    <row r="37" spans="1:63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  <c r="BK37" s="33" t="e">
        <f t="shared" si="0"/>
        <v>#DIV/0!</v>
      </c>
    </row>
    <row r="38" spans="1:63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  <c r="BK38" s="33" t="e">
        <f t="shared" si="0"/>
        <v>#DIV/0!</v>
      </c>
    </row>
    <row r="39" spans="1:63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  <c r="BK39" s="33" t="e">
        <f t="shared" si="0"/>
        <v>#DIV/0!</v>
      </c>
    </row>
    <row r="40" spans="1:63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  <c r="BK40" s="33" t="e">
        <f t="shared" si="0"/>
        <v>#DIV/0!</v>
      </c>
    </row>
    <row r="41" spans="1:63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  <c r="BK41" s="33" t="e">
        <f t="shared" si="0"/>
        <v>#DIV/0!</v>
      </c>
    </row>
    <row r="42" spans="1:63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G42" s="57">
        <v>10</v>
      </c>
      <c r="I42" s="57">
        <v>1.8879999999999999</v>
      </c>
      <c r="L42" s="57">
        <v>1.843</v>
      </c>
      <c r="O42" s="57">
        <v>1.9830000000000001</v>
      </c>
      <c r="R42" s="57">
        <v>1.984</v>
      </c>
      <c r="AG42" s="57">
        <v>1.66</v>
      </c>
      <c r="AH42" s="57">
        <v>0.73899999999999999</v>
      </c>
      <c r="AL42" s="57">
        <v>3.778</v>
      </c>
      <c r="AO42" s="57">
        <v>3.6920000000000002</v>
      </c>
      <c r="AR42" s="57">
        <v>3.9380000000000002</v>
      </c>
      <c r="AU42" s="57">
        <v>3.6920000000000002</v>
      </c>
      <c r="AX42" s="57">
        <v>3.6619999999999999</v>
      </c>
      <c r="BA42" s="57">
        <v>3.5350000000000001</v>
      </c>
      <c r="BG42" s="57">
        <v>1.3788</v>
      </c>
      <c r="BH42" s="57">
        <v>0.81899999999999995</v>
      </c>
      <c r="BK42" s="33">
        <f t="shared" si="0"/>
        <v>3.7161666666666662</v>
      </c>
    </row>
    <row r="43" spans="1:63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BK43" s="33" t="e">
        <f t="shared" si="0"/>
        <v>#DIV/0!</v>
      </c>
    </row>
    <row r="44" spans="1:63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  <c r="BK44" s="33" t="e">
        <f t="shared" si="0"/>
        <v>#DIV/0!</v>
      </c>
    </row>
    <row r="45" spans="1:63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BK45" s="33" t="e">
        <f t="shared" si="0"/>
        <v>#DIV/0!</v>
      </c>
    </row>
    <row r="46" spans="1:63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I46" s="57">
        <v>0.67800000000000005</v>
      </c>
      <c r="L46" s="57">
        <v>0.78800000000000003</v>
      </c>
      <c r="O46" s="57">
        <v>0.68200000000000005</v>
      </c>
      <c r="AG46" s="57">
        <v>1.47</v>
      </c>
      <c r="AH46" s="57">
        <v>0.876</v>
      </c>
      <c r="AL46" s="57">
        <v>2.4710000000000001</v>
      </c>
      <c r="AO46" s="57">
        <v>2.077</v>
      </c>
      <c r="AR46" s="57">
        <v>2.0880000000000001</v>
      </c>
      <c r="AU46" s="57">
        <v>2.0430000000000001</v>
      </c>
      <c r="BG46" s="57">
        <v>3.6276000000000002</v>
      </c>
      <c r="BH46" s="57">
        <v>2.29</v>
      </c>
      <c r="BK46" s="33">
        <f t="shared" si="0"/>
        <v>2.1697500000000001</v>
      </c>
    </row>
    <row r="47" spans="1:63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G47" s="57">
        <v>10</v>
      </c>
      <c r="I47" s="57">
        <v>2.0779999999999998</v>
      </c>
      <c r="L47" s="57">
        <v>2.0430000000000001</v>
      </c>
      <c r="AG47" s="57">
        <v>1.25</v>
      </c>
      <c r="AH47" s="57">
        <v>0.68700000000000006</v>
      </c>
      <c r="AL47" s="57">
        <v>3.2679999999999998</v>
      </c>
      <c r="AO47" s="57">
        <v>3.3650000000000002</v>
      </c>
      <c r="BG47" s="57">
        <v>0.61299999999999999</v>
      </c>
      <c r="BH47" s="57">
        <v>0.36599999999999999</v>
      </c>
      <c r="BK47" s="33">
        <f t="shared" si="0"/>
        <v>3.3165</v>
      </c>
    </row>
    <row r="48" spans="1:63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G48" s="57">
        <v>10</v>
      </c>
      <c r="I48" s="57">
        <v>1.762</v>
      </c>
      <c r="L48" s="57">
        <v>2.1680000000000001</v>
      </c>
      <c r="O48" s="57">
        <v>1.8720000000000001</v>
      </c>
      <c r="AG48" s="57">
        <v>0.88</v>
      </c>
      <c r="AH48" s="57">
        <v>0.45900000000000002</v>
      </c>
      <c r="AL48" s="57">
        <v>3.13</v>
      </c>
      <c r="AO48" s="57">
        <v>2.7</v>
      </c>
      <c r="AR48" s="57">
        <v>2.75</v>
      </c>
      <c r="BG48" s="57">
        <v>1.26</v>
      </c>
      <c r="BH48" s="57">
        <v>0.69299999999999995</v>
      </c>
      <c r="BK48" s="33">
        <f t="shared" si="0"/>
        <v>2.86</v>
      </c>
    </row>
    <row r="49" spans="1:63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  <c r="BK49" s="33" t="e">
        <f t="shared" si="0"/>
        <v>#DIV/0!</v>
      </c>
    </row>
    <row r="50" spans="1:63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  <c r="BK50" s="33" t="e">
        <f t="shared" si="0"/>
        <v>#DIV/0!</v>
      </c>
    </row>
    <row r="51" spans="1:63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  <c r="BK51" s="33" t="e">
        <f t="shared" si="0"/>
        <v>#DIV/0!</v>
      </c>
    </row>
    <row r="52" spans="1:63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  <c r="BK52" s="33" t="e">
        <f t="shared" si="0"/>
        <v>#DIV/0!</v>
      </c>
    </row>
    <row r="53" spans="1:63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I53" s="57">
        <v>1.645</v>
      </c>
      <c r="L53" s="57">
        <v>1.73</v>
      </c>
      <c r="O53" s="57">
        <v>1.7230000000000001</v>
      </c>
      <c r="AG53" s="57">
        <v>0.7</v>
      </c>
      <c r="AH53" s="57">
        <v>0.378</v>
      </c>
      <c r="AL53" s="57">
        <v>3.4060000000000001</v>
      </c>
      <c r="AO53" s="57">
        <v>3.4780000000000002</v>
      </c>
      <c r="BG53" s="57">
        <v>1.2501</v>
      </c>
      <c r="BH53" s="57">
        <v>0.70899999999999996</v>
      </c>
      <c r="BK53" s="33">
        <f t="shared" si="0"/>
        <v>3.4420000000000002</v>
      </c>
    </row>
    <row r="54" spans="1:63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  <c r="BK54" s="33" t="e">
        <f t="shared" si="0"/>
        <v>#DIV/0!</v>
      </c>
    </row>
    <row r="55" spans="1:63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  <c r="BK55" s="33" t="e">
        <f t="shared" si="0"/>
        <v>#DIV/0!</v>
      </c>
    </row>
    <row r="56" spans="1:63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  <c r="BK56" s="33" t="e">
        <f t="shared" si="0"/>
        <v>#DIV/0!</v>
      </c>
    </row>
    <row r="57" spans="1:63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  <c r="BK57" s="33" t="e">
        <f t="shared" si="0"/>
        <v>#DIV/0!</v>
      </c>
    </row>
    <row r="58" spans="1:63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  <c r="BK58" s="33" t="e">
        <f t="shared" si="0"/>
        <v>#DIV/0!</v>
      </c>
    </row>
    <row r="59" spans="1:63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  <c r="BK59" s="33" t="e">
        <f t="shared" si="0"/>
        <v>#DIV/0!</v>
      </c>
    </row>
    <row r="60" spans="1:63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  <c r="BK60" s="33" t="e">
        <f t="shared" si="0"/>
        <v>#DIV/0!</v>
      </c>
    </row>
    <row r="61" spans="1:63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  <c r="BK61" s="33" t="e">
        <f t="shared" si="0"/>
        <v>#DIV/0!</v>
      </c>
    </row>
    <row r="62" spans="1:63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  <c r="BK62" s="33" t="e">
        <f t="shared" si="0"/>
        <v>#DIV/0!</v>
      </c>
    </row>
    <row r="63" spans="1:63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  <c r="BK63" s="33" t="e">
        <f t="shared" si="0"/>
        <v>#DIV/0!</v>
      </c>
    </row>
    <row r="64" spans="1:63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  <c r="BK64" s="33" t="e">
        <f t="shared" si="0"/>
        <v>#DIV/0!</v>
      </c>
    </row>
    <row r="65" spans="1:63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  <c r="BK65" s="33" t="e">
        <f t="shared" si="0"/>
        <v>#DIV/0!</v>
      </c>
    </row>
    <row r="66" spans="1:63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  <c r="BK66" s="33" t="e">
        <f t="shared" si="0"/>
        <v>#DIV/0!</v>
      </c>
    </row>
    <row r="67" spans="1:63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  <c r="BK67" s="33" t="e">
        <f t="shared" si="0"/>
        <v>#DIV/0!</v>
      </c>
    </row>
    <row r="68" spans="1:63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  <c r="BK68" s="33" t="e">
        <f t="shared" si="0"/>
        <v>#DIV/0!</v>
      </c>
    </row>
    <row r="69" spans="1:63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  <c r="BK69" s="33" t="e">
        <f t="shared" si="0"/>
        <v>#DIV/0!</v>
      </c>
    </row>
    <row r="70" spans="1:63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  <c r="BK70" s="33" t="e">
        <f t="shared" si="0"/>
        <v>#DIV/0!</v>
      </c>
    </row>
    <row r="71" spans="1:63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  <c r="BK71" s="33" t="e">
        <f t="shared" si="0"/>
        <v>#DIV/0!</v>
      </c>
    </row>
    <row r="72" spans="1:63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  <c r="BK72" s="33" t="e">
        <f t="shared" si="0"/>
        <v>#DIV/0!</v>
      </c>
    </row>
    <row r="73" spans="1:63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  <c r="BK73" s="33" t="e">
        <f t="shared" si="0"/>
        <v>#DIV/0!</v>
      </c>
    </row>
    <row r="74" spans="1:63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  <c r="BK74" s="33" t="e">
        <f t="shared" si="0"/>
        <v>#DIV/0!</v>
      </c>
    </row>
    <row r="75" spans="1:63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I75" s="57">
        <v>2.2400000000000002</v>
      </c>
      <c r="L75" s="57">
        <v>1.65</v>
      </c>
      <c r="O75" s="57">
        <v>1.45</v>
      </c>
      <c r="R75" s="57">
        <v>1.75</v>
      </c>
      <c r="U75" s="57">
        <v>2.4</v>
      </c>
      <c r="AG75" s="57">
        <v>2</v>
      </c>
      <c r="AH75" s="57">
        <v>1.242</v>
      </c>
      <c r="BG75" s="57">
        <v>0.81</v>
      </c>
      <c r="BH75" s="57">
        <v>0.48599999999999999</v>
      </c>
      <c r="BI75" s="57">
        <v>1.53</v>
      </c>
      <c r="BJ75" s="57">
        <v>0.99299999999999999</v>
      </c>
      <c r="BK75" s="33" t="e">
        <f t="shared" si="0"/>
        <v>#DIV/0!</v>
      </c>
    </row>
    <row r="76" spans="1:63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  <c r="BK76" s="33" t="e">
        <f t="shared" si="0"/>
        <v>#DIV/0!</v>
      </c>
    </row>
    <row r="77" spans="1:63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  <c r="BK77" s="33" t="e">
        <f t="shared" si="0"/>
        <v>#DIV/0!</v>
      </c>
    </row>
    <row r="78" spans="1:63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  <c r="BK78" s="33" t="e">
        <f t="shared" si="0"/>
        <v>#DIV/0!</v>
      </c>
    </row>
    <row r="79" spans="1:63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  <c r="BK79" s="33" t="e">
        <f t="shared" si="0"/>
        <v>#DIV/0!</v>
      </c>
    </row>
    <row r="80" spans="1:63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  <c r="BK80" s="33" t="e">
        <f t="shared" si="0"/>
        <v>#DIV/0!</v>
      </c>
    </row>
    <row r="81" spans="1:63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  <c r="BK81" s="33" t="e">
        <f t="shared" si="0"/>
        <v>#DIV/0!</v>
      </c>
    </row>
    <row r="82" spans="1:63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I82" s="57">
        <v>1.94</v>
      </c>
      <c r="L82" s="57">
        <v>1.39</v>
      </c>
      <c r="O82" s="57">
        <v>1.45</v>
      </c>
      <c r="R82" s="57">
        <v>1.51</v>
      </c>
      <c r="AG82" s="57">
        <v>1.91</v>
      </c>
      <c r="AH82" s="57">
        <v>1.1679999999999999</v>
      </c>
      <c r="BG82" s="57">
        <v>3.1</v>
      </c>
      <c r="BH82" s="57">
        <v>1.92</v>
      </c>
      <c r="BK82" s="33" t="e">
        <f t="shared" si="0"/>
        <v>#DIV/0!</v>
      </c>
    </row>
    <row r="83" spans="1:63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  <c r="BK83" s="33" t="e">
        <f t="shared" si="0"/>
        <v>#DIV/0!</v>
      </c>
    </row>
    <row r="84" spans="1:63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  <c r="BK84" s="33" t="e">
        <f t="shared" si="0"/>
        <v>#DIV/0!</v>
      </c>
    </row>
    <row r="85" spans="1:63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  <c r="BK85" s="33" t="e">
        <f t="shared" si="0"/>
        <v>#DIV/0!</v>
      </c>
    </row>
    <row r="86" spans="1:63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  <c r="BK86" s="33" t="e">
        <f t="shared" si="0"/>
        <v>#DIV/0!</v>
      </c>
    </row>
    <row r="87" spans="1:63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  <c r="BK87" s="33" t="e">
        <f t="shared" si="0"/>
        <v>#DIV/0!</v>
      </c>
    </row>
    <row r="88" spans="1:63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  <c r="BK88" s="33" t="e">
        <f t="shared" si="0"/>
        <v>#DIV/0!</v>
      </c>
    </row>
    <row r="89" spans="1:63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  <c r="BK89" s="33" t="e">
        <f t="shared" si="0"/>
        <v>#DIV/0!</v>
      </c>
    </row>
    <row r="90" spans="1:63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  <c r="BK90" s="33" t="e">
        <f t="shared" si="0"/>
        <v>#DIV/0!</v>
      </c>
    </row>
    <row r="91" spans="1:63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I91" s="57">
        <v>2.0630000000000002</v>
      </c>
      <c r="L91" s="57">
        <v>1.8819999999999999</v>
      </c>
      <c r="O91" s="57">
        <v>1.843</v>
      </c>
      <c r="AG91" s="57">
        <v>0.35</v>
      </c>
      <c r="AH91" s="57">
        <v>0.20699999999999999</v>
      </c>
      <c r="BG91" s="57">
        <v>1.19</v>
      </c>
      <c r="BH91" s="57">
        <v>0.63</v>
      </c>
      <c r="BK91" s="33" t="e">
        <f t="shared" si="0"/>
        <v>#DIV/0!</v>
      </c>
    </row>
    <row r="92" spans="1:63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I92" s="57">
        <v>1.532</v>
      </c>
      <c r="L92" s="57">
        <v>1.5009999999999999</v>
      </c>
      <c r="AG92" s="57">
        <v>1.27</v>
      </c>
      <c r="AH92" s="57">
        <v>0.68100000000000005</v>
      </c>
      <c r="BG92" s="57">
        <v>0.75</v>
      </c>
      <c r="BH92" s="57">
        <v>0.40100000000000002</v>
      </c>
      <c r="BK92" s="33" t="e">
        <f t="shared" si="0"/>
        <v>#DIV/0!</v>
      </c>
    </row>
    <row r="93" spans="1:63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I93" s="57">
        <v>1.782</v>
      </c>
      <c r="L93" s="57">
        <v>1.7410000000000001</v>
      </c>
      <c r="O93" s="57">
        <v>1.8420000000000001</v>
      </c>
      <c r="AG93" s="57">
        <v>0.68</v>
      </c>
      <c r="AH93" s="57">
        <v>0.36099999999999999</v>
      </c>
      <c r="BG93" s="57">
        <v>1.02</v>
      </c>
      <c r="BH93" s="57">
        <v>0.59799999999999998</v>
      </c>
      <c r="BK93" s="33" t="e">
        <f t="shared" si="0"/>
        <v>#DIV/0!</v>
      </c>
    </row>
    <row r="94" spans="1:63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  <c r="BK94" s="33" t="e">
        <f t="shared" si="0"/>
        <v>#DIV/0!</v>
      </c>
    </row>
    <row r="95" spans="1:63" x14ac:dyDescent="0.2">
      <c r="A95" s="2"/>
      <c r="B95" s="76" t="s">
        <v>60</v>
      </c>
      <c r="C95" s="2" t="s">
        <v>112</v>
      </c>
      <c r="D95" s="3" t="s">
        <v>64</v>
      </c>
      <c r="E95" s="3"/>
      <c r="BK95" s="33" t="e">
        <f t="shared" si="0"/>
        <v>#DIV/0!</v>
      </c>
    </row>
    <row r="96" spans="1:63" x14ac:dyDescent="0.2">
      <c r="A96" s="2"/>
      <c r="B96" s="76" t="s">
        <v>60</v>
      </c>
      <c r="C96" s="2" t="s">
        <v>112</v>
      </c>
      <c r="D96" s="3" t="s">
        <v>64</v>
      </c>
      <c r="E96" s="3"/>
      <c r="BK96" s="33" t="e">
        <f t="shared" si="0"/>
        <v>#DIV/0!</v>
      </c>
    </row>
    <row r="97" spans="1:63" x14ac:dyDescent="0.2">
      <c r="A97" s="2"/>
      <c r="B97" s="76" t="s">
        <v>60</v>
      </c>
      <c r="C97" s="2" t="s">
        <v>112</v>
      </c>
      <c r="D97" s="3" t="s">
        <v>64</v>
      </c>
      <c r="E97" s="3"/>
      <c r="BK97" s="33" t="e">
        <f t="shared" si="0"/>
        <v>#DIV/0!</v>
      </c>
    </row>
    <row r="98" spans="1:63" x14ac:dyDescent="0.2">
      <c r="A98" s="2"/>
      <c r="B98" s="76" t="s">
        <v>60</v>
      </c>
      <c r="C98" s="2" t="s">
        <v>112</v>
      </c>
      <c r="D98" s="3" t="s">
        <v>64</v>
      </c>
      <c r="E98" s="3"/>
      <c r="BK98" s="33" t="e">
        <f t="shared" si="0"/>
        <v>#DIV/0!</v>
      </c>
    </row>
    <row r="99" spans="1:63" x14ac:dyDescent="0.2">
      <c r="A99" s="2"/>
      <c r="B99" s="76" t="s">
        <v>60</v>
      </c>
      <c r="C99" s="2" t="s">
        <v>112</v>
      </c>
      <c r="D99" s="3" t="s">
        <v>64</v>
      </c>
      <c r="E99" s="3"/>
      <c r="BK99" s="33" t="e">
        <f t="shared" si="0"/>
        <v>#DIV/0!</v>
      </c>
    </row>
    <row r="100" spans="1:63" x14ac:dyDescent="0.2">
      <c r="A100" s="2"/>
      <c r="B100" s="76" t="s">
        <v>60</v>
      </c>
      <c r="C100" s="2" t="s">
        <v>113</v>
      </c>
      <c r="D100" s="3" t="s">
        <v>64</v>
      </c>
      <c r="E100" s="3"/>
      <c r="BK100" s="33" t="e">
        <f t="shared" si="0"/>
        <v>#DIV/0!</v>
      </c>
    </row>
    <row r="101" spans="1:63" x14ac:dyDescent="0.2">
      <c r="A101" s="2"/>
      <c r="B101" s="76" t="s">
        <v>60</v>
      </c>
      <c r="C101" s="2" t="s">
        <v>113</v>
      </c>
      <c r="D101" s="3" t="s">
        <v>64</v>
      </c>
      <c r="E101" s="3"/>
      <c r="BK101" s="33" t="e">
        <f t="shared" si="0"/>
        <v>#DIV/0!</v>
      </c>
    </row>
    <row r="102" spans="1:63" x14ac:dyDescent="0.2">
      <c r="A102" s="2"/>
      <c r="B102" s="76" t="s">
        <v>60</v>
      </c>
      <c r="C102" s="2" t="s">
        <v>113</v>
      </c>
      <c r="D102" s="3" t="s">
        <v>64</v>
      </c>
      <c r="E102" s="3"/>
      <c r="BK102" s="33" t="e">
        <f t="shared" si="0"/>
        <v>#DIV/0!</v>
      </c>
    </row>
    <row r="103" spans="1:63" x14ac:dyDescent="0.2">
      <c r="A103" s="2"/>
      <c r="B103" s="76" t="s">
        <v>60</v>
      </c>
      <c r="C103" s="2" t="s">
        <v>113</v>
      </c>
      <c r="D103" s="3" t="s">
        <v>64</v>
      </c>
      <c r="E103" s="3"/>
      <c r="BK103" s="33" t="e">
        <f t="shared" si="0"/>
        <v>#DIV/0!</v>
      </c>
    </row>
    <row r="104" spans="1:63" x14ac:dyDescent="0.2">
      <c r="A104" s="2"/>
      <c r="B104" s="76" t="s">
        <v>60</v>
      </c>
      <c r="C104" s="2" t="s">
        <v>113</v>
      </c>
      <c r="D104" s="3" t="s">
        <v>64</v>
      </c>
      <c r="E104" s="3"/>
      <c r="BK104" s="33" t="e">
        <f t="shared" si="0"/>
        <v>#DIV/0!</v>
      </c>
    </row>
    <row r="105" spans="1:63" x14ac:dyDescent="0.2">
      <c r="A105" s="12"/>
      <c r="B105" s="76" t="s">
        <v>60</v>
      </c>
      <c r="C105" s="12" t="s">
        <v>114</v>
      </c>
      <c r="D105" s="12" t="s">
        <v>58</v>
      </c>
      <c r="E105" s="12"/>
      <c r="BK105" s="33" t="e">
        <f t="shared" si="0"/>
        <v>#DIV/0!</v>
      </c>
    </row>
    <row r="106" spans="1:63" x14ac:dyDescent="0.2">
      <c r="A106" s="12"/>
      <c r="B106" s="76" t="s">
        <v>60</v>
      </c>
      <c r="C106" s="12" t="s">
        <v>114</v>
      </c>
      <c r="D106" s="12" t="s">
        <v>58</v>
      </c>
      <c r="E106" s="12"/>
      <c r="BK106" s="33" t="e">
        <f t="shared" si="0"/>
        <v>#DIV/0!</v>
      </c>
    </row>
    <row r="107" spans="1:63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I107" s="57">
        <v>1.2929999999999999</v>
      </c>
      <c r="L107" s="57">
        <v>1.288</v>
      </c>
      <c r="AG107" s="57">
        <v>2.88</v>
      </c>
      <c r="AH107" s="57">
        <v>1.54</v>
      </c>
      <c r="AL107" s="57">
        <v>2.8239999999999998</v>
      </c>
      <c r="AO107" s="57">
        <v>2.4689999999999999</v>
      </c>
      <c r="AR107" s="57">
        <v>2.774</v>
      </c>
      <c r="AU107" s="57">
        <v>2.4790000000000001</v>
      </c>
      <c r="BG107" s="57">
        <v>2.2559999999999998</v>
      </c>
      <c r="BH107" s="57">
        <v>1.2909999999999999</v>
      </c>
      <c r="BK107" s="33">
        <f t="shared" si="0"/>
        <v>2.6364999999999998</v>
      </c>
    </row>
    <row r="108" spans="1:63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BK108" s="33" t="e">
        <f t="shared" si="0"/>
        <v>#DIV/0!</v>
      </c>
    </row>
    <row r="109" spans="1:63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BK109" s="33" t="e">
        <f t="shared" si="0"/>
        <v>#DIV/0!</v>
      </c>
    </row>
    <row r="110" spans="1:63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I110" s="57">
        <v>1.4159999999999999</v>
      </c>
      <c r="L110" s="57">
        <v>1.3480000000000001</v>
      </c>
      <c r="O110" s="57">
        <v>1.3340000000000001</v>
      </c>
      <c r="AG110" s="57">
        <v>1.37</v>
      </c>
      <c r="AH110" s="57">
        <v>0.77900000000000003</v>
      </c>
      <c r="AL110" s="57">
        <v>3.9489999999999998</v>
      </c>
      <c r="AO110" s="57">
        <v>3.9380000000000002</v>
      </c>
      <c r="AR110" s="57">
        <v>3.778</v>
      </c>
      <c r="BG110" s="57">
        <v>2.2723</v>
      </c>
      <c r="BH110" s="57">
        <v>1.3939999999999999</v>
      </c>
      <c r="BK110" s="33">
        <f t="shared" si="0"/>
        <v>3.8883333333333332</v>
      </c>
    </row>
    <row r="111" spans="1:63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I111" s="57">
        <v>1.6830000000000001</v>
      </c>
      <c r="L111" s="57">
        <v>1.3380000000000001</v>
      </c>
      <c r="O111" s="57">
        <v>1.56</v>
      </c>
      <c r="R111" s="57">
        <v>1.548</v>
      </c>
      <c r="AG111" s="57">
        <v>0.48</v>
      </c>
      <c r="AH111" s="57">
        <v>0.29099999999999998</v>
      </c>
      <c r="BG111" s="57">
        <v>1.45</v>
      </c>
      <c r="BH111" s="57">
        <v>0.81</v>
      </c>
      <c r="BK111" s="33" t="e">
        <f t="shared" si="0"/>
        <v>#DIV/0!</v>
      </c>
    </row>
    <row r="112" spans="1:63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I112" s="57">
        <v>1.288</v>
      </c>
      <c r="L112" s="57">
        <v>1.2190000000000001</v>
      </c>
      <c r="AG112" s="57">
        <v>1.29</v>
      </c>
      <c r="AH112" s="57">
        <v>0.73099999999999998</v>
      </c>
      <c r="BG112" s="57">
        <v>1.6</v>
      </c>
      <c r="BH112" s="57">
        <v>0.91</v>
      </c>
      <c r="BK112" s="33" t="e">
        <f t="shared" si="0"/>
        <v>#DIV/0!</v>
      </c>
    </row>
    <row r="113" spans="1:63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  <c r="BK113" s="33" t="e">
        <f t="shared" si="0"/>
        <v>#DIV/0!</v>
      </c>
    </row>
    <row r="114" spans="1:63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  <c r="BK114" s="33" t="e">
        <f t="shared" si="0"/>
        <v>#DIV/0!</v>
      </c>
    </row>
    <row r="115" spans="1:63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  <c r="BK115" s="33" t="e">
        <f t="shared" si="0"/>
        <v>#DIV/0!</v>
      </c>
    </row>
    <row r="116" spans="1:63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  <c r="BK116" s="33" t="e">
        <f t="shared" si="0"/>
        <v>#DIV/0!</v>
      </c>
    </row>
    <row r="117" spans="1:63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E117" s="57" t="s">
        <v>138</v>
      </c>
      <c r="I117" s="57">
        <v>3.1379999999999999</v>
      </c>
      <c r="L117" s="57">
        <v>3.37</v>
      </c>
      <c r="O117" s="57">
        <v>3.4209999999999998</v>
      </c>
      <c r="R117" s="57">
        <v>4.1879999999999997</v>
      </c>
      <c r="U117" s="57">
        <v>3.4119999999999999</v>
      </c>
      <c r="X117" s="57">
        <v>3.1680000000000001</v>
      </c>
      <c r="AA117" s="57">
        <v>2.9929999999999999</v>
      </c>
      <c r="AG117" s="57">
        <v>0.49</v>
      </c>
      <c r="AH117" s="57">
        <v>0.27300000000000002</v>
      </c>
      <c r="BK117" s="33" t="e">
        <f t="shared" si="0"/>
        <v>#DIV/0!</v>
      </c>
    </row>
    <row r="118" spans="1:63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E118" s="57" t="s">
        <v>140</v>
      </c>
      <c r="BK118" s="33" t="e">
        <f t="shared" si="0"/>
        <v>#DIV/0!</v>
      </c>
    </row>
    <row r="119" spans="1:63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E119" s="57" t="s">
        <v>141</v>
      </c>
      <c r="BK119" s="33" t="e">
        <f t="shared" si="0"/>
        <v>#DIV/0!</v>
      </c>
    </row>
    <row r="120" spans="1:63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E120" s="57" t="s">
        <v>143</v>
      </c>
      <c r="I120" s="57">
        <v>2.8809999999999998</v>
      </c>
      <c r="L120" s="57">
        <v>3.403</v>
      </c>
      <c r="O120" s="57">
        <v>3.2709999999999999</v>
      </c>
      <c r="R120" s="57">
        <v>3.3410000000000002</v>
      </c>
      <c r="U120" s="57">
        <v>3.04</v>
      </c>
      <c r="X120" s="57">
        <v>3.3140000000000001</v>
      </c>
      <c r="AG120" s="57">
        <v>2.48</v>
      </c>
      <c r="AH120" s="57">
        <v>1.325</v>
      </c>
      <c r="BK120" s="33" t="e">
        <f t="shared" si="0"/>
        <v>#DIV/0!</v>
      </c>
    </row>
    <row r="121" spans="1:63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E121" s="57" t="s">
        <v>144</v>
      </c>
      <c r="BK121" s="33" t="e">
        <f t="shared" si="0"/>
        <v>#DIV/0!</v>
      </c>
    </row>
    <row r="122" spans="1:63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E122" s="57" t="s">
        <v>145</v>
      </c>
      <c r="BK122" s="33" t="e">
        <f t="shared" si="0"/>
        <v>#DIV/0!</v>
      </c>
    </row>
    <row r="123" spans="1:63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  <c r="BK123" s="33" t="e">
        <f t="shared" si="0"/>
        <v>#DIV/0!</v>
      </c>
    </row>
    <row r="124" spans="1:63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  <c r="BK124" s="33" t="e">
        <f t="shared" si="0"/>
        <v>#DIV/0!</v>
      </c>
    </row>
    <row r="125" spans="1:63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  <c r="BK125" s="33" t="e">
        <f t="shared" si="0"/>
        <v>#DIV/0!</v>
      </c>
    </row>
    <row r="126" spans="1:63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  <c r="BK126" s="33" t="e">
        <f t="shared" si="0"/>
        <v>#DIV/0!</v>
      </c>
    </row>
    <row r="127" spans="1:63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  <c r="BK127" s="33" t="e">
        <f t="shared" si="0"/>
        <v>#DIV/0!</v>
      </c>
    </row>
    <row r="128" spans="1:63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  <c r="BK128" s="33" t="e">
        <f t="shared" si="0"/>
        <v>#DIV/0!</v>
      </c>
    </row>
    <row r="129" spans="1:64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  <c r="BK129" s="33" t="e">
        <f t="shared" si="0"/>
        <v>#DIV/0!</v>
      </c>
    </row>
    <row r="130" spans="1:64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  <c r="AG130" s="57">
        <v>0.36</v>
      </c>
      <c r="AH130" s="57">
        <v>0.20200000000000001</v>
      </c>
      <c r="BK130" s="33" t="e">
        <f t="shared" si="0"/>
        <v>#DIV/0!</v>
      </c>
      <c r="BL130" s="57" t="s">
        <v>175</v>
      </c>
    </row>
    <row r="131" spans="1:64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  <c r="BK131" s="33" t="e">
        <f t="shared" si="0"/>
        <v>#DIV/0!</v>
      </c>
    </row>
    <row r="132" spans="1:64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  <c r="AL132" s="57">
        <v>2.931</v>
      </c>
      <c r="AO132" s="57">
        <v>3.03</v>
      </c>
      <c r="BG132" s="57">
        <v>1.1299999999999999</v>
      </c>
      <c r="BH132" s="57">
        <v>0.63200000000000001</v>
      </c>
      <c r="BK132" s="33">
        <f t="shared" si="0"/>
        <v>2.9805000000000001</v>
      </c>
    </row>
    <row r="133" spans="1:64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  <c r="AL133" s="57">
        <v>3.7010000000000001</v>
      </c>
      <c r="AO133" s="57">
        <v>4.0199999999999996</v>
      </c>
      <c r="AR133" s="57">
        <v>3.4620000000000002</v>
      </c>
      <c r="AU133" s="57">
        <v>3.4060000000000001</v>
      </c>
      <c r="AX133" s="57">
        <v>4.1120000000000001</v>
      </c>
      <c r="BG133" s="57">
        <v>1.36</v>
      </c>
      <c r="BH133" s="57">
        <v>0.752</v>
      </c>
      <c r="BK133" s="33">
        <f t="shared" si="0"/>
        <v>3.7402000000000002</v>
      </c>
    </row>
    <row r="134" spans="1:64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  <c r="AL134" s="57">
        <v>2.7090000000000001</v>
      </c>
      <c r="AO134" s="57">
        <v>2.92</v>
      </c>
      <c r="AR134" s="57">
        <v>2.3130000000000002</v>
      </c>
      <c r="AU134" s="57">
        <v>2.2000000000000002</v>
      </c>
      <c r="AX134" s="57">
        <v>2.9620000000000002</v>
      </c>
      <c r="BA134" s="57">
        <v>2.8010000000000002</v>
      </c>
      <c r="BG134" s="57">
        <v>4.2080000000000002</v>
      </c>
      <c r="BH134" s="57">
        <v>2.4729999999999999</v>
      </c>
      <c r="BK134" s="33">
        <f t="shared" si="0"/>
        <v>2.6508333333333334</v>
      </c>
    </row>
    <row r="135" spans="1:64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  <c r="AL135" s="57">
        <v>2.02</v>
      </c>
      <c r="AO135" s="57">
        <v>2.3050000000000002</v>
      </c>
      <c r="AR135" s="57">
        <v>1.9330000000000001</v>
      </c>
      <c r="AU135" s="57">
        <v>2.298</v>
      </c>
      <c r="AX135" s="57">
        <v>2.1890000000000001</v>
      </c>
      <c r="BG135" s="57">
        <v>1.4964999999999999</v>
      </c>
      <c r="BH135" s="57">
        <v>0.86639999999999995</v>
      </c>
      <c r="BK135" s="33">
        <f t="shared" si="0"/>
        <v>2.149</v>
      </c>
    </row>
    <row r="136" spans="1:64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  <c r="AL136" s="57">
        <v>2.7160000000000002</v>
      </c>
      <c r="AO136" s="57">
        <v>2.6680000000000001</v>
      </c>
      <c r="AR136" s="57">
        <v>2.7160000000000002</v>
      </c>
      <c r="AU136" s="57">
        <v>2.6680000000000001</v>
      </c>
      <c r="BG136" s="57">
        <v>1.73</v>
      </c>
      <c r="BH136" s="57">
        <v>0.94399999999999995</v>
      </c>
      <c r="BK136" s="33">
        <f t="shared" si="0"/>
        <v>2.6920000000000002</v>
      </c>
    </row>
    <row r="137" spans="1:64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  <c r="AG137" s="57">
        <v>1.05</v>
      </c>
      <c r="AH137" s="57">
        <v>0.57899999999999996</v>
      </c>
      <c r="AL137" s="57">
        <v>3.069</v>
      </c>
      <c r="AO137" s="57">
        <v>3.048</v>
      </c>
      <c r="BK137" s="33">
        <f t="shared" si="0"/>
        <v>3.0585</v>
      </c>
    </row>
    <row r="138" spans="1:64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  <c r="AL138" s="57">
        <v>3.3340000000000001</v>
      </c>
      <c r="AO138" s="57">
        <v>3.4</v>
      </c>
      <c r="BG138" s="57">
        <v>1.3483000000000001</v>
      </c>
      <c r="BH138" s="57">
        <v>0.79479999999999995</v>
      </c>
      <c r="BK138" s="33">
        <f t="shared" si="0"/>
        <v>3.367</v>
      </c>
    </row>
    <row r="139" spans="1:64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  <c r="AL139" s="57">
        <v>3.61</v>
      </c>
      <c r="AO139" s="57">
        <v>3.14</v>
      </c>
      <c r="AR139" s="57">
        <v>3.339</v>
      </c>
      <c r="AU139" s="57">
        <v>3.2879999999999998</v>
      </c>
      <c r="BI139" s="57">
        <v>1.39</v>
      </c>
      <c r="BJ139" s="57">
        <v>0.88900000000000001</v>
      </c>
      <c r="BK139" s="33">
        <f t="shared" si="0"/>
        <v>3.3442499999999997</v>
      </c>
    </row>
    <row r="140" spans="1:64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  <c r="AL140" s="57">
        <v>3.2010000000000001</v>
      </c>
      <c r="AO140" s="57">
        <v>3.2240000000000002</v>
      </c>
      <c r="BG140" s="57">
        <v>0.77</v>
      </c>
      <c r="BH140" s="57">
        <v>0.45200000000000001</v>
      </c>
      <c r="BK140" s="33">
        <f t="shared" si="0"/>
        <v>3.2125000000000004</v>
      </c>
    </row>
    <row r="141" spans="1:64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  <c r="AL141" s="57">
        <v>2.5710000000000002</v>
      </c>
      <c r="AO141" s="57">
        <v>2.4689999999999999</v>
      </c>
      <c r="AR141" s="57">
        <v>2.7360000000000002</v>
      </c>
      <c r="AU141" s="57">
        <v>2.4460000000000002</v>
      </c>
      <c r="BG141" s="57">
        <v>1.05</v>
      </c>
      <c r="BH141" s="57">
        <v>0.59799999999999998</v>
      </c>
      <c r="BI141" s="57">
        <v>0.08</v>
      </c>
      <c r="BJ141" s="57">
        <v>0.05</v>
      </c>
      <c r="BK141" s="33">
        <f t="shared" si="0"/>
        <v>2.5554999999999999</v>
      </c>
    </row>
    <row r="142" spans="1:64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  <c r="AL142" s="57">
        <v>1.899</v>
      </c>
      <c r="AO142" s="57">
        <v>2.08</v>
      </c>
      <c r="AR142" s="57">
        <v>2.016</v>
      </c>
      <c r="AU142" s="57">
        <v>2.1</v>
      </c>
      <c r="BG142" s="57">
        <v>1.74</v>
      </c>
      <c r="BH142" s="57">
        <v>1.002</v>
      </c>
      <c r="BK142" s="33">
        <f t="shared" si="0"/>
        <v>2.0237499999999997</v>
      </c>
    </row>
    <row r="143" spans="1:64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  <c r="AL143" s="57">
        <v>3.0529999999999999</v>
      </c>
      <c r="AO143" s="57">
        <v>2.8889999999999998</v>
      </c>
      <c r="BG143" s="57">
        <v>2.3092000000000001</v>
      </c>
      <c r="BH143" s="57">
        <v>1.357</v>
      </c>
      <c r="BK143" s="33">
        <f t="shared" si="0"/>
        <v>2.9710000000000001</v>
      </c>
    </row>
    <row r="144" spans="1:64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  <c r="BK144" s="33" t="e">
        <f t="shared" si="0"/>
        <v>#DIV/0!</v>
      </c>
    </row>
    <row r="145" spans="1:67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  <c r="BK145" s="33" t="e">
        <f t="shared" si="0"/>
        <v>#DIV/0!</v>
      </c>
    </row>
    <row r="146" spans="1:67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  <c r="BK146" s="33" t="e">
        <f t="shared" si="0"/>
        <v>#DIV/0!</v>
      </c>
    </row>
    <row r="147" spans="1:67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  <c r="BK147" s="33" t="e">
        <f t="shared" si="0"/>
        <v>#DIV/0!</v>
      </c>
    </row>
    <row r="148" spans="1:67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  <c r="BK148" s="33" t="e">
        <f t="shared" si="0"/>
        <v>#DIV/0!</v>
      </c>
    </row>
    <row r="149" spans="1:67" x14ac:dyDescent="0.2">
      <c r="A149" s="57" t="s">
        <v>114</v>
      </c>
      <c r="B149" s="76" t="s">
        <v>133</v>
      </c>
      <c r="D149" s="54" t="s">
        <v>64</v>
      </c>
      <c r="E149" s="57">
        <v>2011</v>
      </c>
      <c r="I149" s="57">
        <v>1.698</v>
      </c>
      <c r="L149" s="57">
        <v>1.736</v>
      </c>
      <c r="O149" s="57">
        <v>1.75</v>
      </c>
      <c r="AG149" s="57">
        <v>1.27</v>
      </c>
      <c r="AH149" s="57">
        <v>0.70799999999999996</v>
      </c>
      <c r="BG149" s="57">
        <v>1.83</v>
      </c>
      <c r="BH149" s="57">
        <v>1.006</v>
      </c>
      <c r="BK149" s="33" t="e">
        <f t="shared" si="0"/>
        <v>#DIV/0!</v>
      </c>
    </row>
    <row r="150" spans="1:67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  <c r="I150" s="57">
        <v>1.4710000000000001</v>
      </c>
      <c r="L150" s="57">
        <v>1.5009999999999999</v>
      </c>
      <c r="AG150" s="57">
        <v>1.08</v>
      </c>
      <c r="AH150" s="57">
        <v>0.59599999999999997</v>
      </c>
      <c r="AL150" s="57">
        <v>3.464</v>
      </c>
      <c r="AO150" s="57">
        <v>3.6709999999999998</v>
      </c>
      <c r="AR150" s="57">
        <v>3.57</v>
      </c>
      <c r="BG150" s="57">
        <v>1.9710000000000001</v>
      </c>
      <c r="BH150" s="57">
        <v>1.125</v>
      </c>
      <c r="BK150" s="33">
        <f t="shared" si="0"/>
        <v>3.5683333333333334</v>
      </c>
    </row>
    <row r="151" spans="1:67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  <c r="I151" s="57">
        <v>1.7829999999999999</v>
      </c>
      <c r="L151" s="57">
        <v>1.6819999999999999</v>
      </c>
      <c r="O151" s="57">
        <v>1.9019999999999999</v>
      </c>
      <c r="AG151" s="57">
        <v>1.07</v>
      </c>
      <c r="AH151" s="57">
        <v>0.57699999999999996</v>
      </c>
      <c r="AL151" s="57">
        <v>3.2810000000000001</v>
      </c>
      <c r="AO151" s="57">
        <v>3.2709999999999999</v>
      </c>
      <c r="BG151" s="57">
        <v>1.3847</v>
      </c>
      <c r="BH151" s="57">
        <v>0.81200000000000006</v>
      </c>
      <c r="BK151" s="33">
        <f t="shared" si="0"/>
        <v>3.2759999999999998</v>
      </c>
    </row>
    <row r="152" spans="1:67" x14ac:dyDescent="0.2">
      <c r="A152" s="57" t="s">
        <v>134</v>
      </c>
      <c r="B152" s="76" t="s">
        <v>135</v>
      </c>
      <c r="D152" s="54" t="s">
        <v>64</v>
      </c>
      <c r="E152" s="57">
        <v>2008</v>
      </c>
      <c r="BK152" s="33" t="e">
        <f t="shared" si="0"/>
        <v>#DIV/0!</v>
      </c>
    </row>
    <row r="153" spans="1:67" x14ac:dyDescent="0.2">
      <c r="C153" s="93" t="s">
        <v>341</v>
      </c>
      <c r="D153" s="93" t="s">
        <v>341</v>
      </c>
      <c r="E153" s="93" t="s">
        <v>342</v>
      </c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86">
        <v>0.52</v>
      </c>
      <c r="BH153" s="86">
        <v>0.29099999999999998</v>
      </c>
      <c r="BI153" s="94"/>
      <c r="BJ153" s="94"/>
      <c r="BK153" s="94"/>
      <c r="BL153" s="94"/>
      <c r="BM153" s="94"/>
      <c r="BN153" s="94"/>
      <c r="BO153" s="94"/>
    </row>
    <row r="154" spans="1:67" x14ac:dyDescent="0.2">
      <c r="D154" s="3"/>
    </row>
    <row r="155" spans="1:67" x14ac:dyDescent="0.2">
      <c r="D155" s="3"/>
    </row>
    <row r="156" spans="1:67" x14ac:dyDescent="0.2">
      <c r="D156" s="3"/>
    </row>
    <row r="157" spans="1:67" x14ac:dyDescent="0.2">
      <c r="D157" s="3"/>
    </row>
    <row r="158" spans="1:67" x14ac:dyDescent="0.2">
      <c r="D158" s="3"/>
    </row>
    <row r="159" spans="1:67" x14ac:dyDescent="0.2">
      <c r="D159" s="3"/>
    </row>
    <row r="160" spans="1:67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BK312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3" x14ac:dyDescent="0.2">
      <c r="C1" s="74" t="s">
        <v>207</v>
      </c>
      <c r="D1" s="1"/>
      <c r="E1" s="1"/>
    </row>
    <row r="3" spans="1:63" x14ac:dyDescent="0.2">
      <c r="C3" s="12" t="s">
        <v>1</v>
      </c>
      <c r="D3" s="38" t="s">
        <v>208</v>
      </c>
      <c r="E3" s="12"/>
    </row>
    <row r="4" spans="1:63" x14ac:dyDescent="0.2">
      <c r="C4" s="12" t="s">
        <v>3</v>
      </c>
      <c r="D4" s="77">
        <v>44706</v>
      </c>
    </row>
    <row r="6" spans="1:63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  <c r="BI6" s="9"/>
      <c r="BJ6" s="9"/>
      <c r="BK6" s="9"/>
    </row>
    <row r="7" spans="1:63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</row>
    <row r="8" spans="1:63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</row>
    <row r="9" spans="1:63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</row>
    <row r="10" spans="1:63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</row>
    <row r="11" spans="1:63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3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</row>
    <row r="13" spans="1:63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</row>
    <row r="14" spans="1:63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3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</row>
    <row r="16" spans="1:63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</row>
    <row r="17" spans="1:15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15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</row>
    <row r="19" spans="1:15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</row>
    <row r="20" spans="1:15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15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</row>
    <row r="22" spans="1:15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</row>
    <row r="23" spans="1:15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</row>
    <row r="24" spans="1:15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G24" s="57">
        <v>10</v>
      </c>
      <c r="I24" s="57">
        <v>1.7729999999999999</v>
      </c>
      <c r="L24" s="57">
        <v>1.82</v>
      </c>
      <c r="O24" s="57">
        <v>2.04</v>
      </c>
    </row>
    <row r="25" spans="1:15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</row>
    <row r="26" spans="1:15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15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G27" s="57">
        <v>10</v>
      </c>
      <c r="I27" s="57">
        <v>2.032</v>
      </c>
      <c r="L27" s="57">
        <v>2.0009999999999999</v>
      </c>
    </row>
    <row r="28" spans="1:15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15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15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G30" s="57">
        <v>10</v>
      </c>
      <c r="I30" s="57">
        <v>1.8120000000000001</v>
      </c>
      <c r="L30" s="57">
        <v>1.982</v>
      </c>
      <c r="O30" s="57">
        <v>1.9</v>
      </c>
    </row>
    <row r="31" spans="1:15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</row>
    <row r="32" spans="1:15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</row>
    <row r="33" spans="1:42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</row>
    <row r="34" spans="1:42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</row>
    <row r="35" spans="1:42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AJ35" s="57">
        <v>3.65</v>
      </c>
      <c r="AM35" s="57">
        <v>3.83</v>
      </c>
      <c r="AP35" s="57">
        <v>3.86</v>
      </c>
    </row>
    <row r="36" spans="1:42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</row>
    <row r="37" spans="1:42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</row>
    <row r="38" spans="1:42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</row>
    <row r="39" spans="1:42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</row>
    <row r="40" spans="1:42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</row>
    <row r="41" spans="1:42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</row>
    <row r="42" spans="1:42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G42" s="57">
        <v>10</v>
      </c>
      <c r="I42" s="57">
        <v>1.8879999999999999</v>
      </c>
      <c r="L42" s="57">
        <v>1.843</v>
      </c>
      <c r="O42" s="57">
        <v>1.9830000000000001</v>
      </c>
      <c r="R42" s="57">
        <v>1.984</v>
      </c>
    </row>
    <row r="43" spans="1:42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42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</row>
    <row r="45" spans="1:42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42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</row>
    <row r="47" spans="1:42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G47" s="57">
        <v>10</v>
      </c>
      <c r="I47" s="57">
        <v>2.0779999999999998</v>
      </c>
      <c r="L47" s="57">
        <v>2.0430000000000001</v>
      </c>
    </row>
    <row r="48" spans="1:42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G48" s="57">
        <v>10</v>
      </c>
      <c r="I48" s="57">
        <v>1.762</v>
      </c>
      <c r="L48" s="57">
        <v>2.1680000000000001</v>
      </c>
      <c r="O48" s="57">
        <v>1.8720000000000001</v>
      </c>
      <c r="AJ48" s="57">
        <v>3.13</v>
      </c>
      <c r="AM48" s="57">
        <v>2.7</v>
      </c>
      <c r="AP48" s="57">
        <v>2.75</v>
      </c>
    </row>
    <row r="49" spans="1:5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</row>
    <row r="50" spans="1:5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</row>
    <row r="51" spans="1:5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</row>
    <row r="52" spans="1:5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</row>
    <row r="53" spans="1:5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</row>
    <row r="54" spans="1:5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</row>
    <row r="55" spans="1:5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</row>
    <row r="56" spans="1:5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</row>
    <row r="57" spans="1:5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</row>
    <row r="58" spans="1:5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</row>
    <row r="59" spans="1:5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</row>
    <row r="60" spans="1:5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</row>
    <row r="61" spans="1:5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</row>
    <row r="62" spans="1:5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</row>
    <row r="63" spans="1:5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</row>
    <row r="64" spans="1:5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</row>
    <row r="65" spans="1:42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</row>
    <row r="66" spans="1:42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</row>
    <row r="67" spans="1:42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</row>
    <row r="68" spans="1:42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</row>
    <row r="69" spans="1:42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</row>
    <row r="70" spans="1:42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</row>
    <row r="71" spans="1:42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</row>
    <row r="72" spans="1:42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</row>
    <row r="73" spans="1:42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</row>
    <row r="74" spans="1:42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</row>
    <row r="75" spans="1:42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AJ75" s="57">
        <v>2.52</v>
      </c>
      <c r="AM75" s="57">
        <v>2.68</v>
      </c>
      <c r="AP75" s="57">
        <v>2.72</v>
      </c>
    </row>
    <row r="76" spans="1:42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</row>
    <row r="77" spans="1:42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</row>
    <row r="78" spans="1:42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</row>
    <row r="79" spans="1:42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</row>
    <row r="80" spans="1:42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</row>
    <row r="81" spans="1:42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42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AJ82" s="57">
        <v>3.07</v>
      </c>
      <c r="AM82" s="57">
        <v>2.65</v>
      </c>
      <c r="AP82" s="57">
        <v>2.91</v>
      </c>
    </row>
    <row r="83" spans="1:42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</row>
    <row r="84" spans="1:42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</row>
    <row r="85" spans="1:42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</row>
    <row r="86" spans="1:42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</row>
    <row r="87" spans="1:42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</row>
    <row r="88" spans="1:42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</row>
    <row r="89" spans="1:42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</row>
    <row r="90" spans="1:42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</row>
    <row r="91" spans="1:42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AJ91" s="57">
        <v>2.92</v>
      </c>
      <c r="AM91" s="57">
        <v>3.5</v>
      </c>
      <c r="AP91" s="57">
        <v>3.18</v>
      </c>
    </row>
    <row r="92" spans="1:42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AJ92" s="57">
        <v>2.7</v>
      </c>
      <c r="AM92" s="57">
        <v>2.61</v>
      </c>
      <c r="AP92" s="57">
        <v>2.36</v>
      </c>
    </row>
    <row r="93" spans="1:42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AJ93" s="57">
        <v>2.37</v>
      </c>
      <c r="AM93" s="57">
        <v>2.21</v>
      </c>
      <c r="AP93" s="57">
        <v>1.96</v>
      </c>
    </row>
    <row r="94" spans="1:42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</row>
    <row r="95" spans="1:42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42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42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42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42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42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42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42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42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42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42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42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42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</row>
    <row r="108" spans="1:42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42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42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</row>
    <row r="111" spans="1:42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AJ111" s="57">
        <v>3.47</v>
      </c>
      <c r="AM111" s="57">
        <v>3.27</v>
      </c>
      <c r="AP111" s="57">
        <v>3.29</v>
      </c>
    </row>
    <row r="112" spans="1:42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AJ112" s="57">
        <v>3.3</v>
      </c>
      <c r="AM112" s="57">
        <v>2.92</v>
      </c>
      <c r="AP112" s="57">
        <v>2.83</v>
      </c>
    </row>
    <row r="113" spans="1:51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  <c r="I113" s="57">
        <v>1.712</v>
      </c>
      <c r="L113" s="57">
        <v>1.897</v>
      </c>
      <c r="O113" s="57">
        <v>1.8440000000000001</v>
      </c>
      <c r="AG113" s="57">
        <v>1.42</v>
      </c>
      <c r="AH113" s="57">
        <v>0.79090000000000005</v>
      </c>
      <c r="AJ113" s="57">
        <v>3.6579999999999999</v>
      </c>
      <c r="AM113" s="57">
        <v>2.448</v>
      </c>
      <c r="AP113" s="57">
        <v>2.1789999999999998</v>
      </c>
      <c r="AS113" s="57">
        <v>2.4980000000000002</v>
      </c>
      <c r="AV113" s="57">
        <v>2.6459999999999999</v>
      </c>
    </row>
    <row r="114" spans="1:51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  <c r="I114" s="57">
        <v>1.79</v>
      </c>
      <c r="L114" s="57">
        <v>1.798</v>
      </c>
      <c r="O114" s="57">
        <v>1.6</v>
      </c>
      <c r="AG114" s="57">
        <v>2.15</v>
      </c>
      <c r="AH114" s="57">
        <v>1.1337999999999999</v>
      </c>
      <c r="AJ114" s="57">
        <v>3.05</v>
      </c>
      <c r="AM114" s="57">
        <v>3</v>
      </c>
      <c r="AP114" s="57">
        <v>2.95</v>
      </c>
    </row>
    <row r="115" spans="1:51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  <c r="I115" s="57">
        <v>1.7809999999999999</v>
      </c>
      <c r="L115" s="57">
        <v>1.778</v>
      </c>
      <c r="O115" s="57">
        <v>1.742</v>
      </c>
      <c r="AG115" s="57">
        <v>2.33</v>
      </c>
      <c r="AH115" s="57">
        <v>0.12418999999999999</v>
      </c>
      <c r="AJ115" s="57">
        <v>3.3740000000000001</v>
      </c>
      <c r="AM115" s="57">
        <v>3.1339999999999999</v>
      </c>
      <c r="AP115" s="57">
        <v>3.09</v>
      </c>
    </row>
    <row r="116" spans="1:51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  <c r="I116" s="57">
        <v>1.6679999999999999</v>
      </c>
      <c r="L116" s="57">
        <v>1.78</v>
      </c>
      <c r="O116" s="57">
        <v>1.569</v>
      </c>
      <c r="AJ116" s="57">
        <v>3.35</v>
      </c>
      <c r="AM116" s="57">
        <v>3.25</v>
      </c>
      <c r="AP116" s="57">
        <v>3.6</v>
      </c>
    </row>
    <row r="117" spans="1:51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E117" s="57" t="s">
        <v>138</v>
      </c>
    </row>
    <row r="118" spans="1:51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E118" s="57" t="s">
        <v>140</v>
      </c>
      <c r="AJ118" s="57">
        <v>3.4380000000000002</v>
      </c>
      <c r="AM118" s="57">
        <v>2.4590000000000001</v>
      </c>
      <c r="AP118" s="57">
        <v>3.234</v>
      </c>
      <c r="AS118" s="57">
        <v>3.4119999999999999</v>
      </c>
      <c r="AV118" s="57">
        <v>3.5779999999999998</v>
      </c>
    </row>
    <row r="119" spans="1:51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E119" s="57" t="s">
        <v>141</v>
      </c>
      <c r="I119" s="57">
        <v>3.75</v>
      </c>
      <c r="L119" s="57">
        <v>3.55</v>
      </c>
      <c r="O119" s="57">
        <v>3.45</v>
      </c>
      <c r="R119" s="57">
        <v>3.65</v>
      </c>
      <c r="AJ119" s="57">
        <v>4.3719999999999999</v>
      </c>
      <c r="AM119" s="57">
        <v>3.972</v>
      </c>
      <c r="AP119" s="57">
        <v>3.7890000000000001</v>
      </c>
    </row>
    <row r="120" spans="1:51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E120" s="57" t="s">
        <v>143</v>
      </c>
      <c r="AJ120" s="57">
        <v>4.8</v>
      </c>
      <c r="AM120" s="57">
        <v>3.4</v>
      </c>
      <c r="AP120" s="57">
        <v>4.3499999999999996</v>
      </c>
      <c r="AS120" s="57">
        <v>4.5</v>
      </c>
      <c r="AV120" s="57">
        <v>4.8</v>
      </c>
      <c r="AY120" s="57">
        <v>4.6500000000000004</v>
      </c>
    </row>
    <row r="121" spans="1:51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E121" s="57" t="s">
        <v>144</v>
      </c>
      <c r="I121" s="57">
        <v>4</v>
      </c>
      <c r="L121" s="57">
        <v>4.8</v>
      </c>
      <c r="O121" s="57">
        <v>3.85</v>
      </c>
      <c r="R121" s="57">
        <v>4.3</v>
      </c>
      <c r="U121" s="57">
        <v>4.25</v>
      </c>
      <c r="X121" s="57">
        <v>4.05</v>
      </c>
      <c r="AJ121" s="57">
        <v>4.8899999999999997</v>
      </c>
      <c r="AM121" s="57">
        <v>4.93</v>
      </c>
      <c r="AP121" s="57">
        <v>4.9000000000000004</v>
      </c>
      <c r="AS121" s="57">
        <v>4.8899999999999997</v>
      </c>
      <c r="AV121" s="57">
        <v>4.8899999999999997</v>
      </c>
      <c r="AY121" s="57">
        <v>4.82</v>
      </c>
    </row>
    <row r="122" spans="1:51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E122" s="57" t="s">
        <v>145</v>
      </c>
      <c r="I122" s="57">
        <v>4.55</v>
      </c>
      <c r="L122" s="57">
        <v>4.1500000000000004</v>
      </c>
      <c r="O122" s="57">
        <v>4.3499999999999996</v>
      </c>
      <c r="R122" s="57">
        <v>4.9749999999999996</v>
      </c>
      <c r="U122" s="57">
        <v>5.25</v>
      </c>
      <c r="X122" s="57">
        <v>4.45</v>
      </c>
      <c r="AJ122" s="57">
        <v>4.4580000000000002</v>
      </c>
      <c r="AM122" s="57">
        <v>4.6479999999999997</v>
      </c>
      <c r="AP122" s="57">
        <v>4.5540000000000003</v>
      </c>
      <c r="AS122" s="57">
        <v>4.1879999999999997</v>
      </c>
      <c r="AV122" s="57">
        <v>4.3879999999999999</v>
      </c>
      <c r="AY122" s="57">
        <v>4.1289999999999996</v>
      </c>
    </row>
    <row r="123" spans="1:51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  <c r="I123" s="57">
        <v>0.63800000000000001</v>
      </c>
      <c r="L123" s="57">
        <v>0.89700000000000002</v>
      </c>
      <c r="O123" s="57">
        <v>0.83799999999999997</v>
      </c>
      <c r="R123" s="57">
        <v>0.71199999999999997</v>
      </c>
      <c r="U123" s="57">
        <v>1.04</v>
      </c>
      <c r="X123" s="57">
        <v>0.8</v>
      </c>
      <c r="AG123" s="57">
        <v>1.35</v>
      </c>
      <c r="AH123" s="57">
        <v>0.8296</v>
      </c>
      <c r="AJ123" s="57">
        <v>3.4079999999999999</v>
      </c>
      <c r="AM123" s="57">
        <v>2.3010000000000002</v>
      </c>
      <c r="AP123" s="57">
        <v>2.2999999999999998</v>
      </c>
      <c r="AS123" s="57">
        <v>2.9279999999999999</v>
      </c>
      <c r="AV123" s="57">
        <v>1.8759999999999999</v>
      </c>
      <c r="AY123" s="57">
        <v>3.516</v>
      </c>
    </row>
    <row r="124" spans="1:51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  <c r="I124" s="57">
        <v>1.3</v>
      </c>
      <c r="L124" s="57">
        <v>1.42</v>
      </c>
      <c r="O124" s="57">
        <v>0.72</v>
      </c>
      <c r="R124" s="57">
        <v>0.62</v>
      </c>
      <c r="U124" s="57">
        <v>1.63</v>
      </c>
      <c r="X124" s="57">
        <v>0.85499999999999998</v>
      </c>
      <c r="AG124" s="57">
        <v>1.1499999999999999</v>
      </c>
      <c r="AH124" s="57">
        <v>0.69940000000000002</v>
      </c>
      <c r="AJ124" s="57">
        <v>1.609</v>
      </c>
      <c r="AM124" s="57">
        <v>2.8540000000000001</v>
      </c>
      <c r="AP124" s="57">
        <v>1.738</v>
      </c>
      <c r="AS124" s="57">
        <v>2.681</v>
      </c>
    </row>
    <row r="125" spans="1:51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  <c r="I125" s="57">
        <v>1.0049999999999999</v>
      </c>
      <c r="L125" s="57">
        <v>0.51</v>
      </c>
      <c r="O125" s="57">
        <v>0.38</v>
      </c>
      <c r="R125" s="57">
        <v>0.75</v>
      </c>
      <c r="U125" s="57">
        <v>0.4</v>
      </c>
      <c r="X125" s="57">
        <v>0.45700000000000002</v>
      </c>
      <c r="AG125" s="57">
        <v>0.62</v>
      </c>
      <c r="AH125" s="57">
        <v>0.33510000000000001</v>
      </c>
      <c r="AJ125" s="57">
        <v>1.8779999999999999</v>
      </c>
      <c r="AM125" s="57">
        <v>2.1429999999999998</v>
      </c>
      <c r="AP125" s="57">
        <v>1.9179999999999999</v>
      </c>
      <c r="AS125" s="57">
        <v>2.4630000000000001</v>
      </c>
      <c r="AV125" s="57">
        <v>2.2080000000000002</v>
      </c>
    </row>
    <row r="126" spans="1:51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  <c r="I126" s="57">
        <v>2.2130000000000001</v>
      </c>
      <c r="L126" s="57">
        <v>1.68</v>
      </c>
      <c r="O126" s="57">
        <v>2.1419999999999999</v>
      </c>
      <c r="R126" s="57">
        <v>1.88</v>
      </c>
      <c r="AG126" s="57">
        <v>1.42</v>
      </c>
      <c r="AH126" s="57">
        <v>0.73350000000000004</v>
      </c>
      <c r="AJ126" s="57">
        <v>2.641</v>
      </c>
      <c r="AM126" s="57">
        <v>2.6890000000000001</v>
      </c>
    </row>
    <row r="127" spans="1:51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  <c r="I127" s="57">
        <v>1.3129999999999999</v>
      </c>
      <c r="L127" s="57">
        <v>0.90800000000000003</v>
      </c>
      <c r="O127" s="57">
        <v>0.998</v>
      </c>
      <c r="R127" s="57">
        <v>0.94199999999999995</v>
      </c>
      <c r="U127" s="57">
        <v>0.82699999999999996</v>
      </c>
      <c r="X127" s="57">
        <v>1.28</v>
      </c>
      <c r="AG127" s="57">
        <v>0.53</v>
      </c>
      <c r="AH127" s="57">
        <v>0.32250000000000001</v>
      </c>
      <c r="AJ127" s="57">
        <v>2.2429999999999999</v>
      </c>
      <c r="AM127" s="57">
        <v>2.19</v>
      </c>
      <c r="AP127" s="57">
        <v>1.58</v>
      </c>
      <c r="AS127" s="57">
        <v>1.845</v>
      </c>
      <c r="AV127" s="57">
        <v>1.998</v>
      </c>
    </row>
    <row r="128" spans="1:51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  <c r="I128" s="57">
        <v>1.43</v>
      </c>
      <c r="L128" s="57">
        <v>1.3260000000000001</v>
      </c>
      <c r="O128" s="57">
        <v>1.347</v>
      </c>
      <c r="AG128" s="57">
        <v>0.67</v>
      </c>
      <c r="AH128" s="57">
        <v>0.35320000000000001</v>
      </c>
      <c r="AJ128" s="57">
        <v>2.855</v>
      </c>
      <c r="AM128" s="57">
        <v>2.9319999999999999</v>
      </c>
    </row>
    <row r="129" spans="1:54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  <c r="I129" s="57">
        <v>1.95</v>
      </c>
      <c r="L129" s="57">
        <v>1.35</v>
      </c>
      <c r="O129" s="57">
        <v>1.35</v>
      </c>
      <c r="AG129" s="57">
        <v>2.33</v>
      </c>
      <c r="AH129" s="57">
        <v>1.2122999999999999</v>
      </c>
    </row>
    <row r="130" spans="1:54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  <c r="I130" s="57">
        <v>1.6679999999999999</v>
      </c>
      <c r="L130" s="57">
        <v>1.4730000000000001</v>
      </c>
      <c r="O130" s="57">
        <v>1.52</v>
      </c>
      <c r="AG130" s="57">
        <v>2.37</v>
      </c>
      <c r="AH130" s="57">
        <v>1.2072000000000001</v>
      </c>
      <c r="AJ130" s="57">
        <v>3.29</v>
      </c>
      <c r="AM130" s="57">
        <v>3.3279999999999998</v>
      </c>
      <c r="AP130" s="57">
        <v>3.1379999999999999</v>
      </c>
    </row>
    <row r="131" spans="1:54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  <c r="I131" s="57">
        <v>1.79</v>
      </c>
      <c r="L131" s="57">
        <v>1.32</v>
      </c>
      <c r="O131" s="57">
        <v>1.45</v>
      </c>
      <c r="AG131" s="57">
        <v>0.78</v>
      </c>
      <c r="AH131" s="57">
        <v>0.40560000000000002</v>
      </c>
      <c r="AJ131" s="57">
        <v>2.95</v>
      </c>
      <c r="AM131" s="57">
        <v>3.3</v>
      </c>
      <c r="AP131" s="57">
        <v>3.4</v>
      </c>
    </row>
    <row r="132" spans="1:54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  <c r="I132" s="57">
        <v>1.7</v>
      </c>
      <c r="L132" s="57">
        <v>1.85</v>
      </c>
      <c r="AG132" s="57">
        <v>1.8</v>
      </c>
      <c r="AH132" s="57">
        <v>0.95479999999999998</v>
      </c>
    </row>
    <row r="133" spans="1:54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  <c r="I133" s="57">
        <v>1.65</v>
      </c>
      <c r="L133" s="57">
        <v>1.65</v>
      </c>
      <c r="AG133" s="57">
        <v>0.77</v>
      </c>
      <c r="AH133" s="57">
        <v>0.41110000000000002</v>
      </c>
    </row>
    <row r="134" spans="1:54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  <c r="I134" s="57">
        <v>1.2</v>
      </c>
      <c r="L134" s="57">
        <v>1.72</v>
      </c>
      <c r="O134" s="57">
        <v>1.1499999999999999</v>
      </c>
      <c r="R134" s="57">
        <v>1.75</v>
      </c>
      <c r="AG134" s="57">
        <v>0.47</v>
      </c>
      <c r="AH134" s="57">
        <v>0.30030000000000001</v>
      </c>
    </row>
    <row r="135" spans="1:54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  <c r="I135" s="57">
        <v>1.25</v>
      </c>
      <c r="L135" s="57">
        <v>1.25</v>
      </c>
      <c r="O135" s="57">
        <v>1.1000000000000001</v>
      </c>
      <c r="R135" s="57">
        <v>1.3</v>
      </c>
      <c r="U135" s="57">
        <v>1.41</v>
      </c>
      <c r="X135" s="57">
        <v>1.5</v>
      </c>
      <c r="AG135" s="57">
        <v>1.45</v>
      </c>
      <c r="AH135" s="57">
        <v>0.79239999999999999</v>
      </c>
    </row>
    <row r="136" spans="1:54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  <c r="I136" s="57">
        <v>1.75</v>
      </c>
      <c r="L136" s="57">
        <v>1.65</v>
      </c>
      <c r="AG136" s="57">
        <v>0.91</v>
      </c>
      <c r="AH136" s="57">
        <v>0.4909</v>
      </c>
    </row>
    <row r="137" spans="1:54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  <c r="I137" s="57">
        <v>1.45</v>
      </c>
      <c r="L137" s="57">
        <v>1.55</v>
      </c>
      <c r="AG137" s="57">
        <v>0.86</v>
      </c>
      <c r="AH137" s="57">
        <v>0.46879999999999999</v>
      </c>
    </row>
    <row r="138" spans="1:54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  <c r="I138" s="57">
        <v>2.0099999999999998</v>
      </c>
      <c r="L138" s="57">
        <v>2.15</v>
      </c>
      <c r="O138" s="57">
        <v>2</v>
      </c>
      <c r="AG138" s="57">
        <v>1.1499999999999999</v>
      </c>
      <c r="AH138" s="57">
        <v>0.628</v>
      </c>
    </row>
    <row r="139" spans="1:54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  <c r="I139" s="57">
        <v>1.9</v>
      </c>
      <c r="L139" s="57">
        <v>2.0699999999999998</v>
      </c>
      <c r="AG139" s="57">
        <v>0.92</v>
      </c>
      <c r="AH139" s="57">
        <v>0.50480000000000003</v>
      </c>
    </row>
    <row r="140" spans="1:54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  <c r="I140" s="57">
        <v>1.8</v>
      </c>
      <c r="L140" s="57">
        <v>1.75</v>
      </c>
      <c r="AG140" s="57">
        <v>1.49</v>
      </c>
      <c r="AH140" s="57">
        <v>0.82669999999999999</v>
      </c>
    </row>
    <row r="141" spans="1:54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  <c r="I141" s="57">
        <v>1.21</v>
      </c>
      <c r="L141" s="57">
        <v>1.5</v>
      </c>
      <c r="O141" s="57">
        <v>1.75</v>
      </c>
      <c r="R141" s="57">
        <v>1.21</v>
      </c>
      <c r="U141" s="57">
        <v>1.3</v>
      </c>
      <c r="AG141" s="57">
        <v>1.49</v>
      </c>
      <c r="AH141" s="57">
        <v>0.84770000000000001</v>
      </c>
    </row>
    <row r="142" spans="1:54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  <c r="I142" s="57">
        <v>1.65</v>
      </c>
      <c r="L142" s="57">
        <v>1.45</v>
      </c>
      <c r="O142" s="57">
        <v>1.23</v>
      </c>
      <c r="R142" s="57">
        <v>1.175</v>
      </c>
      <c r="AG142" s="57">
        <v>1.1200000000000001</v>
      </c>
      <c r="AH142" s="57">
        <v>0.69630000000000003</v>
      </c>
    </row>
    <row r="143" spans="1:54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  <c r="I143" s="57">
        <v>1.95</v>
      </c>
      <c r="L143" s="57">
        <v>1.875</v>
      </c>
      <c r="AG143" s="57">
        <v>1.84</v>
      </c>
      <c r="AH143" s="57">
        <v>0.99860000000000004</v>
      </c>
    </row>
    <row r="144" spans="1:54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  <c r="I144" s="57">
        <v>2.258</v>
      </c>
      <c r="L144" s="57">
        <v>2.85</v>
      </c>
      <c r="O144" s="57">
        <v>2.7130000000000001</v>
      </c>
      <c r="AG144" s="57">
        <v>1.03</v>
      </c>
      <c r="AH144" s="57">
        <v>0.55620000000000003</v>
      </c>
      <c r="AJ144" s="57">
        <v>3.15</v>
      </c>
      <c r="AM144" s="57">
        <v>3.2</v>
      </c>
      <c r="AP144" s="57">
        <v>3.2</v>
      </c>
      <c r="AS144" s="57">
        <v>3.3340000000000001</v>
      </c>
      <c r="AV144" s="57">
        <v>2.7530000000000001</v>
      </c>
      <c r="AY144" s="57">
        <v>2.5129999999999999</v>
      </c>
      <c r="BB144" s="57">
        <v>2.883</v>
      </c>
    </row>
    <row r="145" spans="1:45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  <c r="I145" s="57">
        <v>2.008</v>
      </c>
      <c r="L145" s="57">
        <v>1.956</v>
      </c>
      <c r="O145" s="57">
        <v>2.3479999999999999</v>
      </c>
      <c r="AG145" s="57">
        <v>1.19</v>
      </c>
      <c r="AH145" s="57">
        <v>0.64049999999999996</v>
      </c>
    </row>
    <row r="146" spans="1:45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</row>
    <row r="147" spans="1:45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  <c r="I147" s="57">
        <v>1.8380000000000001</v>
      </c>
      <c r="L147" s="57">
        <v>2.008</v>
      </c>
      <c r="O147" s="57">
        <v>2.1</v>
      </c>
      <c r="AG147" s="57">
        <v>3.02</v>
      </c>
      <c r="AH147" s="57">
        <v>1.5872999999999999</v>
      </c>
      <c r="AJ147" s="57">
        <v>3.1890000000000001</v>
      </c>
      <c r="AM147" s="57">
        <v>3.1480000000000001</v>
      </c>
    </row>
    <row r="148" spans="1:45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  <c r="I148" s="57">
        <v>1.6080000000000001</v>
      </c>
      <c r="L148" s="57">
        <v>1.43</v>
      </c>
      <c r="O148" s="57">
        <v>1.62</v>
      </c>
      <c r="AG148" s="57">
        <v>1.1599999999999999</v>
      </c>
      <c r="AH148" s="57">
        <v>0.62829999999999997</v>
      </c>
      <c r="AJ148" s="57">
        <v>4.5</v>
      </c>
      <c r="AM148" s="57">
        <v>3.6</v>
      </c>
      <c r="AP148" s="57">
        <v>3.85</v>
      </c>
      <c r="AS148" s="57">
        <v>4</v>
      </c>
    </row>
    <row r="149" spans="1:45" x14ac:dyDescent="0.2">
      <c r="A149" s="57" t="s">
        <v>114</v>
      </c>
      <c r="B149" s="76" t="s">
        <v>133</v>
      </c>
      <c r="D149" s="54" t="s">
        <v>64</v>
      </c>
      <c r="E149" s="57">
        <v>2011</v>
      </c>
      <c r="AJ149" s="57">
        <v>2.09</v>
      </c>
      <c r="AM149" s="57">
        <v>2.14</v>
      </c>
      <c r="AP149" s="57">
        <v>2.4300000000000002</v>
      </c>
    </row>
    <row r="150" spans="1:45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</row>
    <row r="151" spans="1:45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  <c r="AG151" s="57">
        <v>0.91</v>
      </c>
      <c r="AH151" s="57">
        <v>0.496</v>
      </c>
    </row>
    <row r="152" spans="1:45" x14ac:dyDescent="0.2">
      <c r="A152" s="57" t="s">
        <v>134</v>
      </c>
      <c r="B152" s="76" t="s">
        <v>135</v>
      </c>
      <c r="D152" s="54" t="s">
        <v>64</v>
      </c>
      <c r="E152" s="57">
        <v>2008</v>
      </c>
      <c r="I152" s="57">
        <v>1.64</v>
      </c>
      <c r="L152" s="57">
        <v>1.93</v>
      </c>
      <c r="O152" s="57">
        <v>1.6379999999999999</v>
      </c>
      <c r="AG152" s="57">
        <v>1</v>
      </c>
      <c r="AH152" s="57">
        <v>0.53600000000000003</v>
      </c>
      <c r="AJ152" s="57">
        <v>3.45</v>
      </c>
      <c r="AM152" s="57">
        <v>3.05</v>
      </c>
      <c r="AP152" s="57">
        <v>3.4</v>
      </c>
    </row>
    <row r="153" spans="1:45" x14ac:dyDescent="0.2">
      <c r="D153" s="3"/>
    </row>
    <row r="154" spans="1:45" x14ac:dyDescent="0.2">
      <c r="D154" s="3"/>
    </row>
    <row r="155" spans="1:45" x14ac:dyDescent="0.2">
      <c r="D155" s="3"/>
    </row>
    <row r="156" spans="1:45" x14ac:dyDescent="0.2">
      <c r="D156" s="3"/>
    </row>
    <row r="157" spans="1:45" x14ac:dyDescent="0.2">
      <c r="D157" s="3"/>
    </row>
    <row r="158" spans="1:45" x14ac:dyDescent="0.2">
      <c r="D158" s="3"/>
    </row>
    <row r="159" spans="1:45" x14ac:dyDescent="0.2">
      <c r="D159" s="3"/>
    </row>
    <row r="160" spans="1:45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BK312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</cols>
  <sheetData>
    <row r="1" spans="1:63" x14ac:dyDescent="0.2">
      <c r="C1" s="74" t="s">
        <v>207</v>
      </c>
      <c r="D1" s="1"/>
      <c r="E1" s="1"/>
    </row>
    <row r="3" spans="1:63" x14ac:dyDescent="0.2">
      <c r="C3" s="12" t="s">
        <v>1</v>
      </c>
      <c r="D3" s="38" t="s">
        <v>208</v>
      </c>
      <c r="E3" s="12"/>
    </row>
    <row r="4" spans="1:63" x14ac:dyDescent="0.2">
      <c r="C4" s="12" t="s">
        <v>3</v>
      </c>
      <c r="D4" s="77">
        <v>44706</v>
      </c>
    </row>
    <row r="6" spans="1:63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  <c r="BI6" s="9"/>
      <c r="BJ6" s="9"/>
      <c r="BK6" s="9"/>
    </row>
    <row r="7" spans="1:63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I7" s="57">
        <v>2.2200000000000002</v>
      </c>
      <c r="L7" s="57">
        <v>2.5</v>
      </c>
      <c r="O7" s="57">
        <v>2.75</v>
      </c>
      <c r="R7" s="57">
        <v>2.7</v>
      </c>
      <c r="AG7" s="57">
        <v>0.42849999999999999</v>
      </c>
      <c r="AJ7" s="57">
        <v>5.6</v>
      </c>
      <c r="AM7" s="57">
        <v>5.7</v>
      </c>
      <c r="AP7" s="57">
        <v>5.5</v>
      </c>
      <c r="BE7" s="57">
        <v>1.1974</v>
      </c>
    </row>
    <row r="8" spans="1:63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</row>
    <row r="9" spans="1:63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I9" s="57">
        <v>2.7</v>
      </c>
      <c r="L9" s="57">
        <v>2.6</v>
      </c>
      <c r="O9" s="57">
        <v>2.6</v>
      </c>
      <c r="AG9" s="57">
        <v>0.76659999999999995</v>
      </c>
      <c r="AJ9" s="57">
        <v>4.7</v>
      </c>
      <c r="AM9" s="57">
        <v>4.2</v>
      </c>
      <c r="AP9" s="57">
        <v>3.2</v>
      </c>
      <c r="AS9" s="57">
        <v>4.3</v>
      </c>
      <c r="BE9" s="57">
        <v>0.91210000000000002</v>
      </c>
    </row>
    <row r="10" spans="1:63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</row>
    <row r="11" spans="1:63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3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</row>
    <row r="13" spans="1:63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</row>
    <row r="14" spans="1:63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3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</row>
    <row r="16" spans="1:63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</row>
    <row r="17" spans="1:57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57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I18" s="57">
        <v>4.2</v>
      </c>
      <c r="L18" s="57">
        <v>3.7</v>
      </c>
      <c r="O18" s="57">
        <v>3.6</v>
      </c>
      <c r="AG18" s="57">
        <v>0.94869999999999999</v>
      </c>
      <c r="AJ18" s="57">
        <v>4.5</v>
      </c>
      <c r="AM18" s="57">
        <v>4.5999999999999996</v>
      </c>
      <c r="AP18" s="57">
        <v>4.5999999999999996</v>
      </c>
      <c r="BE18" s="57">
        <v>0.74639999999999995</v>
      </c>
    </row>
    <row r="19" spans="1:57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</row>
    <row r="20" spans="1:57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57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</row>
    <row r="22" spans="1:57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</row>
    <row r="23" spans="1:57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</row>
    <row r="24" spans="1:57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I24" s="57">
        <v>4</v>
      </c>
      <c r="L24" s="57">
        <v>3.8</v>
      </c>
      <c r="O24" s="57">
        <v>3.9</v>
      </c>
      <c r="AG24" s="57">
        <v>0.69269999999999998</v>
      </c>
      <c r="AJ24" s="57">
        <v>4.0999999999999996</v>
      </c>
      <c r="AM24" s="57">
        <v>3.6</v>
      </c>
      <c r="AP24" s="57">
        <v>4.0999999999999996</v>
      </c>
      <c r="BE24" s="57">
        <v>0.73440000000000005</v>
      </c>
    </row>
    <row r="25" spans="1:57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</row>
    <row r="26" spans="1:57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57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I27" s="57">
        <v>3.2</v>
      </c>
      <c r="L27" s="57">
        <v>3.4</v>
      </c>
      <c r="O27" s="57">
        <v>3.2</v>
      </c>
      <c r="AG27" s="57">
        <v>0.58220000000000005</v>
      </c>
      <c r="AJ27" s="57">
        <v>3.8</v>
      </c>
      <c r="AM27" s="57">
        <v>3.85</v>
      </c>
      <c r="AP27" s="57">
        <v>4</v>
      </c>
      <c r="BE27" s="57">
        <v>0.1706</v>
      </c>
    </row>
    <row r="28" spans="1:57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57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57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I30" s="57">
        <v>4.8499999999999996</v>
      </c>
      <c r="L30" s="57">
        <v>4.37</v>
      </c>
      <c r="O30" s="57">
        <v>4.8</v>
      </c>
      <c r="R30" s="57">
        <v>4.5</v>
      </c>
      <c r="AG30" s="57">
        <v>0.52180000000000004</v>
      </c>
    </row>
    <row r="31" spans="1:57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I31" s="57">
        <v>2</v>
      </c>
      <c r="L31" s="57">
        <v>2.25</v>
      </c>
      <c r="O31" s="57">
        <v>1.9</v>
      </c>
      <c r="AJ31" s="57">
        <v>5.0999999999999996</v>
      </c>
      <c r="AM31" s="57">
        <v>4.8</v>
      </c>
      <c r="AP31" s="57">
        <v>5.0999999999999996</v>
      </c>
      <c r="BE31" s="57">
        <v>1.8795999999999999</v>
      </c>
    </row>
    <row r="32" spans="1:57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I32" s="57">
        <v>2.4</v>
      </c>
      <c r="L32" s="57">
        <v>2.2999999999999998</v>
      </c>
      <c r="O32" s="57">
        <v>2.4</v>
      </c>
      <c r="AG32" s="57">
        <v>0.75</v>
      </c>
    </row>
    <row r="33" spans="1:57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I33" s="57">
        <v>1.78</v>
      </c>
      <c r="L33" s="57">
        <v>2.33</v>
      </c>
      <c r="O33" s="57">
        <v>1.89</v>
      </c>
      <c r="R33" s="57">
        <v>2.02</v>
      </c>
      <c r="AG33" s="57">
        <v>0.7702</v>
      </c>
      <c r="AJ33" s="57">
        <v>3.7</v>
      </c>
      <c r="AM33" s="57">
        <v>3.75</v>
      </c>
      <c r="AP33" s="57">
        <v>3.8</v>
      </c>
      <c r="AS33" s="57">
        <v>3.7</v>
      </c>
      <c r="BE33" s="57">
        <v>0.6502</v>
      </c>
    </row>
    <row r="34" spans="1:57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I34" s="57">
        <v>4.2</v>
      </c>
      <c r="L34" s="57">
        <v>4</v>
      </c>
      <c r="O34" s="57">
        <v>4</v>
      </c>
      <c r="AJ34" s="57">
        <v>4.5999999999999996</v>
      </c>
      <c r="AM34" s="57">
        <v>4.5999999999999996</v>
      </c>
      <c r="AP34" s="57">
        <v>4.7</v>
      </c>
      <c r="BE34" s="57">
        <v>0.55520000000000003</v>
      </c>
    </row>
    <row r="35" spans="1:57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I35" s="57">
        <v>1.39</v>
      </c>
      <c r="L35" s="57">
        <v>1.78</v>
      </c>
      <c r="O35" s="57">
        <v>2.21</v>
      </c>
      <c r="R35" s="57">
        <v>2.2999999999999998</v>
      </c>
      <c r="U35" s="57">
        <v>1.4</v>
      </c>
      <c r="AG35" s="57">
        <v>0.52</v>
      </c>
      <c r="AJ35" s="57">
        <v>4.2</v>
      </c>
      <c r="AM35" s="57">
        <v>3.8</v>
      </c>
      <c r="AP35" s="57">
        <v>4.3</v>
      </c>
      <c r="BE35" s="57">
        <v>0.77110000000000001</v>
      </c>
    </row>
    <row r="36" spans="1:57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</row>
    <row r="37" spans="1:57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</row>
    <row r="38" spans="1:57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</row>
    <row r="39" spans="1:57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</row>
    <row r="40" spans="1:57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</row>
    <row r="41" spans="1:57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</row>
    <row r="42" spans="1:57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I42" s="57">
        <v>3.3</v>
      </c>
      <c r="L42" s="57">
        <v>3.25</v>
      </c>
      <c r="O42" s="57">
        <v>2.9</v>
      </c>
      <c r="AG42" s="57">
        <v>1.0724</v>
      </c>
      <c r="AJ42" s="57">
        <v>3.1</v>
      </c>
      <c r="AM42" s="57">
        <v>3.1</v>
      </c>
      <c r="AP42" s="57">
        <v>3.2</v>
      </c>
      <c r="AS42" s="57">
        <v>3.3</v>
      </c>
      <c r="BE42" s="57">
        <v>2.0859999999999999</v>
      </c>
    </row>
    <row r="43" spans="1:57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57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</row>
    <row r="45" spans="1:57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57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I46" s="57">
        <v>1.1000000000000001</v>
      </c>
      <c r="L46" s="57">
        <v>1</v>
      </c>
      <c r="O46" s="57">
        <v>1.25</v>
      </c>
      <c r="AG46" s="57">
        <v>0.66869999999999996</v>
      </c>
      <c r="AJ46" s="57">
        <v>3.4</v>
      </c>
      <c r="AM46" s="57">
        <v>3.1</v>
      </c>
      <c r="AP46" s="57">
        <v>3.7</v>
      </c>
      <c r="AS46" s="57">
        <v>3.6</v>
      </c>
      <c r="BE46" s="57">
        <v>1.0206</v>
      </c>
    </row>
    <row r="47" spans="1:57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I47" s="57">
        <v>3.8</v>
      </c>
      <c r="L47" s="57">
        <v>3.6</v>
      </c>
      <c r="O47" s="57">
        <v>4</v>
      </c>
      <c r="AG47" s="57">
        <v>0.2601</v>
      </c>
      <c r="AJ47" s="57">
        <v>4.8</v>
      </c>
      <c r="AM47" s="57">
        <v>4.5999999999999996</v>
      </c>
      <c r="BE47" s="57">
        <v>0.23180000000000001</v>
      </c>
    </row>
    <row r="48" spans="1:57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I48" s="57">
        <v>3.7</v>
      </c>
      <c r="L48" s="57">
        <v>3.4</v>
      </c>
      <c r="O48" s="57">
        <v>3.2</v>
      </c>
      <c r="R48" s="57">
        <v>3.2</v>
      </c>
      <c r="AG48" s="57">
        <v>1.3270999999999999</v>
      </c>
      <c r="AJ48" s="57">
        <v>4.5</v>
      </c>
      <c r="AM48" s="57">
        <v>4.3</v>
      </c>
      <c r="AP48" s="57">
        <v>3.8</v>
      </c>
      <c r="AS48" s="57">
        <v>4.2</v>
      </c>
      <c r="BE48" s="57">
        <v>0.76090000000000002</v>
      </c>
    </row>
    <row r="49" spans="1:57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</row>
    <row r="50" spans="1:57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</row>
    <row r="51" spans="1:57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</row>
    <row r="52" spans="1:57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</row>
    <row r="53" spans="1:57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I53" s="57">
        <v>2.1800000000000002</v>
      </c>
      <c r="L53" s="57">
        <v>2.2000000000000002</v>
      </c>
      <c r="O53" s="57">
        <v>2.1800000000000002</v>
      </c>
      <c r="AG53" s="57">
        <v>1.0465</v>
      </c>
      <c r="AJ53" s="57">
        <v>4.5999999999999996</v>
      </c>
      <c r="AM53" s="57">
        <v>4.5</v>
      </c>
      <c r="AP53" s="57">
        <v>4.4000000000000004</v>
      </c>
      <c r="BE53" s="57">
        <v>0.42730000000000001</v>
      </c>
    </row>
    <row r="54" spans="1:57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</row>
    <row r="55" spans="1:57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</row>
    <row r="56" spans="1:57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</row>
    <row r="57" spans="1:57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</row>
    <row r="58" spans="1:57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</row>
    <row r="59" spans="1:57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</row>
    <row r="60" spans="1:57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</row>
    <row r="61" spans="1:57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</row>
    <row r="62" spans="1:57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</row>
    <row r="63" spans="1:57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</row>
    <row r="64" spans="1:57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</row>
    <row r="65" spans="1:57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</row>
    <row r="66" spans="1:57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</row>
    <row r="67" spans="1:57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</row>
    <row r="68" spans="1:57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</row>
    <row r="69" spans="1:57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</row>
    <row r="70" spans="1:57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</row>
    <row r="71" spans="1:57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</row>
    <row r="72" spans="1:57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</row>
    <row r="73" spans="1:57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</row>
    <row r="74" spans="1:57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  <c r="AG74" s="57">
        <v>1.98</v>
      </c>
    </row>
    <row r="75" spans="1:57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I75" s="57">
        <v>3.9</v>
      </c>
      <c r="L75" s="57">
        <v>2.84</v>
      </c>
      <c r="O75" s="57">
        <v>2.85</v>
      </c>
      <c r="AG75" s="57">
        <v>1.0567</v>
      </c>
      <c r="AJ75" s="57">
        <v>3.5</v>
      </c>
      <c r="AM75" s="57">
        <v>3.6</v>
      </c>
      <c r="AP75" s="57">
        <v>3.8</v>
      </c>
      <c r="BE75" s="57">
        <v>0.9587</v>
      </c>
    </row>
    <row r="76" spans="1:57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</row>
    <row r="77" spans="1:57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</row>
    <row r="78" spans="1:57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</row>
    <row r="79" spans="1:57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</row>
    <row r="80" spans="1:57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</row>
    <row r="81" spans="1:57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57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I82" s="57">
        <v>2.1</v>
      </c>
      <c r="L82" s="57">
        <v>2.15</v>
      </c>
      <c r="O82" s="57">
        <v>2.09</v>
      </c>
      <c r="AG82" s="57">
        <v>1.4638</v>
      </c>
      <c r="AJ82" s="57">
        <v>4.25</v>
      </c>
      <c r="AM82" s="57">
        <v>4.4000000000000004</v>
      </c>
      <c r="AP82" s="57">
        <v>4.5</v>
      </c>
      <c r="BE82" s="57">
        <v>1.5767</v>
      </c>
    </row>
    <row r="83" spans="1:57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</row>
    <row r="84" spans="1:57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</row>
    <row r="85" spans="1:57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</row>
    <row r="86" spans="1:57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</row>
    <row r="87" spans="1:57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</row>
    <row r="88" spans="1:57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</row>
    <row r="89" spans="1:57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</row>
    <row r="90" spans="1:57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</row>
    <row r="91" spans="1:57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I91" s="57">
        <v>3.3</v>
      </c>
      <c r="L91" s="57">
        <v>3.7</v>
      </c>
      <c r="O91" s="57">
        <v>3.6</v>
      </c>
      <c r="AG91" s="57">
        <v>0.55089999999999995</v>
      </c>
      <c r="AJ91" s="57">
        <v>4.5</v>
      </c>
      <c r="AM91" s="57">
        <v>4.7</v>
      </c>
      <c r="AP91" s="57">
        <v>4.0999999999999996</v>
      </c>
      <c r="BE91" s="57">
        <v>0.36120000000000002</v>
      </c>
    </row>
    <row r="92" spans="1:57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I92" s="57">
        <v>3.2</v>
      </c>
      <c r="L92" s="57">
        <v>3.2</v>
      </c>
      <c r="O92" s="57">
        <v>3</v>
      </c>
      <c r="AG92" s="57">
        <v>0.67259999999999998</v>
      </c>
      <c r="AJ92" s="57">
        <v>3.55</v>
      </c>
      <c r="AM92" s="57">
        <v>3.4</v>
      </c>
      <c r="AP92" s="57">
        <v>3.4</v>
      </c>
      <c r="BE92" s="57">
        <v>0.62029999999999996</v>
      </c>
    </row>
    <row r="93" spans="1:57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I93" s="57">
        <v>2.9</v>
      </c>
      <c r="L93" s="57">
        <v>2.7</v>
      </c>
      <c r="O93" s="57">
        <v>2.7</v>
      </c>
      <c r="AG93" s="57">
        <v>0.92169999999999996</v>
      </c>
      <c r="AJ93" s="57">
        <v>3.7</v>
      </c>
      <c r="AM93" s="57">
        <v>4.0999999999999996</v>
      </c>
      <c r="AP93" s="57">
        <v>4</v>
      </c>
      <c r="AS93" s="57">
        <v>3.6</v>
      </c>
      <c r="AV93" s="57">
        <v>4.2</v>
      </c>
      <c r="BE93" s="57">
        <v>0.74119999999999997</v>
      </c>
    </row>
    <row r="94" spans="1:57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</row>
    <row r="95" spans="1:57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57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57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57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57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57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57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57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57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57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57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57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57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I107" s="57">
        <v>3.6</v>
      </c>
      <c r="L107" s="57">
        <v>3.4</v>
      </c>
      <c r="O107" s="57">
        <v>3.6</v>
      </c>
      <c r="AG107" s="57">
        <v>0.98860000000000003</v>
      </c>
      <c r="AJ107" s="57">
        <v>4.8</v>
      </c>
      <c r="AM107" s="57">
        <v>4.5999999999999996</v>
      </c>
      <c r="AP107" s="57">
        <v>4.5</v>
      </c>
      <c r="BE107" s="57">
        <v>1.3784000000000001</v>
      </c>
    </row>
    <row r="108" spans="1:57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57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57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I110" s="57">
        <v>2.8</v>
      </c>
      <c r="L110" s="57">
        <v>3.1</v>
      </c>
      <c r="O110" s="57">
        <v>2.8</v>
      </c>
      <c r="AG110" s="57">
        <v>1.2769999999999999</v>
      </c>
      <c r="AJ110" s="57">
        <v>3.8</v>
      </c>
      <c r="AM110" s="57">
        <v>3.9</v>
      </c>
      <c r="AP110" s="57">
        <v>4.3</v>
      </c>
      <c r="AS110" s="57">
        <v>3.9</v>
      </c>
      <c r="BE110" s="57">
        <v>1.1934</v>
      </c>
    </row>
    <row r="111" spans="1:57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  <c r="I111" s="57">
        <v>2.2999999999999998</v>
      </c>
      <c r="L111" s="57">
        <v>2.5</v>
      </c>
      <c r="O111" s="57">
        <v>2.74</v>
      </c>
      <c r="R111" s="57">
        <v>2.15</v>
      </c>
      <c r="U111" s="57">
        <v>2.1</v>
      </c>
      <c r="AG111" s="57">
        <v>1.0739000000000001</v>
      </c>
      <c r="AJ111" s="57">
        <v>4</v>
      </c>
      <c r="AM111" s="57">
        <v>4.5</v>
      </c>
      <c r="AP111" s="57">
        <v>4.2</v>
      </c>
      <c r="AS111" s="57">
        <v>4.0999999999999996</v>
      </c>
      <c r="BE111" s="57">
        <v>1.2352000000000001</v>
      </c>
    </row>
    <row r="112" spans="1:57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  <c r="I112" s="57">
        <v>4.0999999999999996</v>
      </c>
      <c r="L112" s="57">
        <v>3.6</v>
      </c>
      <c r="O112" s="57">
        <v>4.5</v>
      </c>
      <c r="R112" s="57">
        <v>3.2</v>
      </c>
      <c r="U112" s="57">
        <v>4.0999999999999996</v>
      </c>
      <c r="AG112" s="57">
        <v>0.4249</v>
      </c>
      <c r="AJ112" s="57">
        <v>5.3</v>
      </c>
      <c r="AM112" s="57">
        <v>5</v>
      </c>
      <c r="AP112" s="57">
        <v>4.3</v>
      </c>
      <c r="AS112" s="57">
        <v>4.8</v>
      </c>
      <c r="BE112" s="57">
        <v>0.54920000000000002</v>
      </c>
    </row>
    <row r="113" spans="1:57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  <c r="I113" s="57">
        <v>2.52</v>
      </c>
      <c r="L113" s="57">
        <v>2.15</v>
      </c>
      <c r="O113" s="57">
        <v>2.08</v>
      </c>
      <c r="R113" s="57">
        <v>1.75</v>
      </c>
      <c r="U113" s="57">
        <v>2.19</v>
      </c>
      <c r="AG113" s="57">
        <v>0.29220000000000002</v>
      </c>
      <c r="BE113" s="57">
        <v>0.47249999999999998</v>
      </c>
    </row>
    <row r="114" spans="1:57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  <c r="AG114" s="57">
        <v>1.1984999999999999</v>
      </c>
      <c r="AJ114" s="57">
        <v>4.4000000000000004</v>
      </c>
      <c r="AM114" s="57">
        <v>4.4000000000000004</v>
      </c>
      <c r="AP114" s="57">
        <v>4.2</v>
      </c>
      <c r="BE114" s="57">
        <v>1.0017</v>
      </c>
    </row>
    <row r="115" spans="1:57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  <c r="I115" s="57">
        <v>2.75</v>
      </c>
      <c r="L115" s="57">
        <v>2.58</v>
      </c>
      <c r="O115" s="57">
        <v>3.17</v>
      </c>
      <c r="R115" s="57">
        <v>2.6</v>
      </c>
      <c r="AG115" s="57">
        <v>1.0207999999999999</v>
      </c>
      <c r="AJ115" s="57">
        <v>4.3</v>
      </c>
      <c r="AM115" s="57">
        <v>4.7</v>
      </c>
      <c r="AP115" s="57">
        <v>4.4000000000000004</v>
      </c>
      <c r="BE115" s="57">
        <v>0.86799999999999999</v>
      </c>
    </row>
    <row r="116" spans="1:57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  <c r="I116" s="57">
        <v>2.2200000000000002</v>
      </c>
      <c r="L116" s="57">
        <v>2.35</v>
      </c>
      <c r="O116" s="57">
        <v>2.4</v>
      </c>
      <c r="AG116" s="57">
        <v>1.0371999999999999</v>
      </c>
      <c r="AJ116" s="57">
        <v>4</v>
      </c>
      <c r="AM116" s="57">
        <v>4.5</v>
      </c>
      <c r="AP116" s="57">
        <v>4.2</v>
      </c>
      <c r="BE116" s="57">
        <v>0.69350000000000001</v>
      </c>
    </row>
    <row r="117" spans="1:57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E117" s="57" t="s">
        <v>138</v>
      </c>
    </row>
    <row r="118" spans="1:57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E118" s="57" t="s">
        <v>140</v>
      </c>
    </row>
    <row r="119" spans="1:57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E119" s="57" t="s">
        <v>141</v>
      </c>
      <c r="I119" s="57">
        <v>6</v>
      </c>
      <c r="L119" s="57">
        <v>5.9</v>
      </c>
      <c r="O119" s="57">
        <v>6.3</v>
      </c>
    </row>
    <row r="120" spans="1:57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E120" s="57" t="s">
        <v>143</v>
      </c>
    </row>
    <row r="121" spans="1:57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E121" s="57" t="s">
        <v>144</v>
      </c>
    </row>
    <row r="122" spans="1:57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E122" s="57" t="s">
        <v>145</v>
      </c>
      <c r="I122" s="57">
        <v>4.9000000000000004</v>
      </c>
      <c r="L122" s="57">
        <v>5.15</v>
      </c>
      <c r="O122" s="57">
        <v>4.0999999999999996</v>
      </c>
      <c r="R122" s="57">
        <v>3</v>
      </c>
      <c r="U122" s="57">
        <v>3.2</v>
      </c>
    </row>
    <row r="123" spans="1:57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  <c r="I123" s="57">
        <v>1.19</v>
      </c>
      <c r="L123" s="57">
        <v>1.03</v>
      </c>
      <c r="O123" s="57">
        <v>0.99</v>
      </c>
      <c r="AG123" s="57">
        <v>2.6688000000000001</v>
      </c>
    </row>
    <row r="124" spans="1:57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  <c r="I124" s="57">
        <v>1.43</v>
      </c>
      <c r="L124" s="57">
        <v>1.32</v>
      </c>
      <c r="O124" s="57">
        <v>1.55</v>
      </c>
      <c r="AG124" s="57">
        <v>1.1818</v>
      </c>
      <c r="AJ124" s="57">
        <v>2.8</v>
      </c>
      <c r="AM124" s="57">
        <v>2.9</v>
      </c>
      <c r="AP124" s="57">
        <v>3.6</v>
      </c>
      <c r="AS124" s="57">
        <v>3.5</v>
      </c>
      <c r="AV124" s="57">
        <v>3.5</v>
      </c>
      <c r="BE124" s="57">
        <v>1.1993</v>
      </c>
    </row>
    <row r="125" spans="1:57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  <c r="I125" s="57">
        <v>0.3</v>
      </c>
      <c r="L125" s="57">
        <v>0.35</v>
      </c>
      <c r="O125" s="57">
        <v>0.25</v>
      </c>
      <c r="R125" s="57">
        <v>0.27</v>
      </c>
      <c r="AG125" s="57">
        <v>1.3033999999999999</v>
      </c>
      <c r="AJ125" s="57">
        <v>2.95</v>
      </c>
      <c r="AM125" s="57">
        <v>2.99</v>
      </c>
      <c r="AP125" s="57">
        <v>2.5</v>
      </c>
      <c r="AS125" s="57">
        <v>2.85</v>
      </c>
      <c r="BE125" s="57">
        <v>1.1459999999999999</v>
      </c>
    </row>
    <row r="126" spans="1:57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  <c r="I126" s="57">
        <v>1.34</v>
      </c>
      <c r="L126" s="57">
        <v>0.95</v>
      </c>
      <c r="O126" s="57">
        <v>0.67</v>
      </c>
      <c r="R126" s="57">
        <v>1.038</v>
      </c>
      <c r="U126" s="57">
        <v>0.89</v>
      </c>
      <c r="X126" s="57">
        <v>0.77</v>
      </c>
      <c r="AG126" s="57">
        <v>0.97070000000000001</v>
      </c>
      <c r="AJ126" s="57">
        <v>3.5</v>
      </c>
      <c r="AM126" s="57">
        <v>4.7</v>
      </c>
      <c r="AP126" s="57">
        <v>4</v>
      </c>
      <c r="AS126" s="57">
        <v>3.8</v>
      </c>
      <c r="BE126" s="57">
        <v>0.63060000000000005</v>
      </c>
    </row>
    <row r="127" spans="1:57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  <c r="AJ127" s="57">
        <v>2.5</v>
      </c>
      <c r="AM127" s="57">
        <v>2.4</v>
      </c>
      <c r="AP127" s="57">
        <v>2.4</v>
      </c>
      <c r="BE127" s="57">
        <v>1.2424999999999999</v>
      </c>
    </row>
    <row r="128" spans="1:57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  <c r="I128" s="57">
        <v>2.09</v>
      </c>
      <c r="L128" s="57">
        <v>2.2799999999999998</v>
      </c>
      <c r="O128" s="57">
        <v>2.2999999999999998</v>
      </c>
      <c r="R128" s="57">
        <v>2.35</v>
      </c>
      <c r="AG128" s="57">
        <v>0.96050000000000002</v>
      </c>
      <c r="AJ128" s="57">
        <v>4</v>
      </c>
      <c r="AM128" s="57">
        <v>3.4</v>
      </c>
      <c r="AP128" s="57">
        <v>3.2</v>
      </c>
      <c r="BE128" s="57">
        <v>0.41699999999999998</v>
      </c>
    </row>
    <row r="129" spans="1:57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  <c r="I129" s="57">
        <v>1.55</v>
      </c>
      <c r="L129" s="57">
        <v>1.55</v>
      </c>
      <c r="O129" s="57">
        <v>1.8</v>
      </c>
      <c r="R129" s="57">
        <v>1.59</v>
      </c>
      <c r="AG129" s="57">
        <v>1.4021999999999999</v>
      </c>
      <c r="AJ129" s="57">
        <v>3.5</v>
      </c>
      <c r="AM129" s="57">
        <v>3.8</v>
      </c>
      <c r="AP129" s="57">
        <v>3.6</v>
      </c>
      <c r="BE129" s="57">
        <v>0.88100000000000001</v>
      </c>
    </row>
    <row r="130" spans="1:57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  <c r="I130" s="57">
        <v>2.4500000000000002</v>
      </c>
      <c r="L130" s="57">
        <v>2.6</v>
      </c>
      <c r="O130" s="57">
        <v>2.27</v>
      </c>
      <c r="AG130" s="57">
        <v>2.4003000000000001</v>
      </c>
      <c r="AJ130" s="57">
        <v>4.2</v>
      </c>
      <c r="AM130" s="57">
        <v>4.2</v>
      </c>
      <c r="AP130" s="57">
        <v>4</v>
      </c>
      <c r="BE130" s="57">
        <v>1.2172000000000001</v>
      </c>
    </row>
    <row r="131" spans="1:57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  <c r="I131" s="57">
        <v>2.9</v>
      </c>
      <c r="L131" s="57">
        <v>3.5</v>
      </c>
      <c r="O131" s="57">
        <v>2.2000000000000002</v>
      </c>
      <c r="R131" s="57">
        <v>2.6</v>
      </c>
      <c r="U131" s="57">
        <v>2.7</v>
      </c>
      <c r="AG131" s="57">
        <v>1.1206</v>
      </c>
      <c r="AJ131" s="57">
        <v>4.0999999999999996</v>
      </c>
      <c r="AM131" s="57">
        <v>3.9</v>
      </c>
      <c r="AP131" s="57">
        <v>4.3</v>
      </c>
      <c r="BE131" s="57">
        <v>1.1073999999999999</v>
      </c>
    </row>
    <row r="132" spans="1:57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  <c r="I132" s="57">
        <v>3.1</v>
      </c>
      <c r="L132" s="57">
        <v>2.73</v>
      </c>
      <c r="O132" s="57">
        <v>2.7</v>
      </c>
      <c r="R132" s="57">
        <v>2.9</v>
      </c>
      <c r="AJ132" s="57">
        <v>3.85</v>
      </c>
      <c r="AM132" s="57">
        <v>4</v>
      </c>
      <c r="AP132" s="57">
        <v>3.75</v>
      </c>
      <c r="BE132" s="57">
        <v>0.54610000000000003</v>
      </c>
    </row>
    <row r="133" spans="1:57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  <c r="I133" s="57">
        <v>3.4</v>
      </c>
      <c r="L133" s="57">
        <v>3</v>
      </c>
      <c r="O133" s="57">
        <v>3.2</v>
      </c>
      <c r="AG133" s="57">
        <v>0.50060000000000004</v>
      </c>
      <c r="AJ133" s="57">
        <v>3.7</v>
      </c>
      <c r="AM133" s="57">
        <v>4.3</v>
      </c>
      <c r="AP133" s="57">
        <v>4.5999999999999996</v>
      </c>
      <c r="AS133" s="57">
        <v>4.0999999999999996</v>
      </c>
      <c r="BE133" s="57">
        <v>0.72289999999999999</v>
      </c>
    </row>
    <row r="134" spans="1:57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  <c r="I134" s="57">
        <v>2.2000000000000002</v>
      </c>
      <c r="L134" s="57">
        <v>2.25</v>
      </c>
      <c r="O134" s="57">
        <v>2.7</v>
      </c>
      <c r="R134" s="57">
        <v>2.2200000000000002</v>
      </c>
      <c r="AG134" s="57">
        <v>1.1277999999999999</v>
      </c>
      <c r="AJ134" s="57">
        <v>3.7</v>
      </c>
      <c r="AM134" s="57">
        <v>3.76</v>
      </c>
      <c r="AP134" s="57">
        <v>3.7</v>
      </c>
      <c r="BE134" s="57">
        <v>1.494</v>
      </c>
    </row>
    <row r="135" spans="1:57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  <c r="I135" s="57">
        <v>2.2999999999999998</v>
      </c>
      <c r="L135" s="57">
        <v>2.5</v>
      </c>
      <c r="O135" s="57">
        <v>2.1</v>
      </c>
      <c r="AG135" s="57">
        <v>2.0581</v>
      </c>
      <c r="AJ135" s="57">
        <v>3.5</v>
      </c>
      <c r="AM135" s="57">
        <v>3.6</v>
      </c>
      <c r="AP135" s="57">
        <v>3.3</v>
      </c>
      <c r="BE135" s="57">
        <v>1.9936</v>
      </c>
    </row>
    <row r="136" spans="1:57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  <c r="I136" s="57">
        <v>2.4500000000000002</v>
      </c>
      <c r="L136" s="57">
        <v>2.9</v>
      </c>
      <c r="O136" s="57">
        <v>3.1</v>
      </c>
      <c r="R136" s="57">
        <v>2.4500000000000002</v>
      </c>
      <c r="U136" s="57">
        <v>2.9</v>
      </c>
      <c r="AG136" s="57">
        <v>0.69299999999999995</v>
      </c>
      <c r="AJ136" s="57">
        <v>4.3</v>
      </c>
      <c r="AM136" s="57">
        <v>3.9</v>
      </c>
      <c r="AP136" s="57">
        <v>4.0999999999999996</v>
      </c>
      <c r="BE136" s="57">
        <v>1.298</v>
      </c>
    </row>
    <row r="137" spans="1:57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  <c r="I137" s="57">
        <v>3</v>
      </c>
      <c r="L137" s="57">
        <v>3.4</v>
      </c>
      <c r="O137" s="57">
        <v>3.7</v>
      </c>
      <c r="R137" s="57">
        <v>2.4</v>
      </c>
      <c r="AG137" s="57">
        <v>0.95679999999999998</v>
      </c>
      <c r="AJ137" s="57">
        <v>4.2</v>
      </c>
      <c r="AM137" s="57">
        <v>4</v>
      </c>
      <c r="AP137" s="57">
        <v>4</v>
      </c>
      <c r="BE137" s="57">
        <v>0.49070000000000003</v>
      </c>
    </row>
    <row r="138" spans="1:57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  <c r="I138" s="57">
        <v>4.2</v>
      </c>
      <c r="L138" s="57">
        <v>3.5</v>
      </c>
      <c r="O138" s="57">
        <v>4.0999999999999996</v>
      </c>
      <c r="R138" s="57">
        <v>3.6</v>
      </c>
      <c r="AG138" s="57">
        <v>0.72740000000000005</v>
      </c>
      <c r="AJ138" s="57">
        <v>4.9000000000000004</v>
      </c>
      <c r="AM138" s="57">
        <v>4.4000000000000004</v>
      </c>
      <c r="AP138" s="57">
        <v>4.3</v>
      </c>
      <c r="BE138" s="57">
        <v>0.50190000000000001</v>
      </c>
    </row>
    <row r="139" spans="1:57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  <c r="I139" s="57">
        <v>3.2</v>
      </c>
      <c r="L139" s="57">
        <v>3.6</v>
      </c>
      <c r="O139" s="57">
        <v>3.6</v>
      </c>
      <c r="AG139" s="57">
        <v>0.59519999999999995</v>
      </c>
      <c r="BE139" s="57">
        <v>0.52739999999999998</v>
      </c>
    </row>
    <row r="140" spans="1:57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  <c r="I140" s="57">
        <v>3</v>
      </c>
      <c r="L140" s="57">
        <v>3.6</v>
      </c>
      <c r="O140" s="57">
        <v>3.5</v>
      </c>
      <c r="AG140" s="57">
        <v>1.2369000000000001</v>
      </c>
      <c r="AJ140" s="57">
        <v>5.5</v>
      </c>
      <c r="AM140" s="57">
        <v>4.5</v>
      </c>
      <c r="AP140" s="57">
        <v>4.5</v>
      </c>
      <c r="AS140" s="57">
        <v>4.5</v>
      </c>
      <c r="BE140" s="57">
        <v>1.6538999999999999</v>
      </c>
    </row>
    <row r="141" spans="1:57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  <c r="I141" s="57">
        <v>2</v>
      </c>
      <c r="L141" s="57">
        <v>2.08</v>
      </c>
      <c r="O141" s="57">
        <v>1.6</v>
      </c>
      <c r="R141" s="57">
        <v>2.1</v>
      </c>
      <c r="AG141" s="57">
        <v>2.8127</v>
      </c>
      <c r="AJ141" s="57">
        <v>3.7</v>
      </c>
      <c r="AM141" s="57">
        <v>3.3</v>
      </c>
      <c r="AP141" s="57">
        <v>3.2</v>
      </c>
      <c r="AS141" s="57">
        <v>3</v>
      </c>
      <c r="BE141" s="57">
        <v>1.3579000000000001</v>
      </c>
    </row>
    <row r="142" spans="1:57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  <c r="I142" s="57">
        <v>2.5</v>
      </c>
      <c r="L142" s="57">
        <v>3</v>
      </c>
      <c r="O142" s="57">
        <v>3.3</v>
      </c>
      <c r="R142" s="57">
        <v>3.6</v>
      </c>
      <c r="AJ142" s="57">
        <v>3.1</v>
      </c>
      <c r="AM142" s="57">
        <v>3.6</v>
      </c>
      <c r="AP142" s="57">
        <v>3.1</v>
      </c>
      <c r="AS142" s="57">
        <v>3.65</v>
      </c>
      <c r="AV142" s="57">
        <v>3.5</v>
      </c>
      <c r="BE142" s="57">
        <v>1.1821999999999999</v>
      </c>
    </row>
    <row r="143" spans="1:57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  <c r="I143" s="57">
        <v>3.6</v>
      </c>
      <c r="L143" s="57">
        <v>3.3</v>
      </c>
      <c r="O143" s="57">
        <v>2.8</v>
      </c>
      <c r="R143" s="57">
        <v>3.6</v>
      </c>
      <c r="U143" s="57">
        <v>3.18</v>
      </c>
      <c r="AG143" s="57">
        <v>0.57930000000000004</v>
      </c>
      <c r="AJ143" s="57">
        <v>3.9</v>
      </c>
      <c r="AM143" s="57">
        <v>4.2</v>
      </c>
      <c r="AP143" s="57">
        <v>4</v>
      </c>
      <c r="BE143" s="57">
        <v>1.0943000000000001</v>
      </c>
    </row>
    <row r="144" spans="1:57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  <c r="I144" s="57">
        <v>2.68</v>
      </c>
      <c r="L144" s="57">
        <v>2.65</v>
      </c>
      <c r="O144" s="57">
        <v>2.56</v>
      </c>
      <c r="AG144" s="57">
        <v>0.45040000000000002</v>
      </c>
      <c r="AJ144" s="57">
        <v>3.8</v>
      </c>
      <c r="AM144" s="57">
        <v>3.6</v>
      </c>
      <c r="AP144" s="57">
        <v>3.65</v>
      </c>
      <c r="BE144" s="57">
        <v>0.36709999999999998</v>
      </c>
    </row>
    <row r="145" spans="1:57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  <c r="AJ145" s="57">
        <v>3.7</v>
      </c>
      <c r="AM145" s="57">
        <v>4</v>
      </c>
      <c r="AP145" s="57">
        <v>4.2</v>
      </c>
      <c r="BE145" s="57">
        <v>0.5877</v>
      </c>
    </row>
    <row r="146" spans="1:57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</row>
    <row r="147" spans="1:57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  <c r="I147" s="57">
        <v>4.5</v>
      </c>
      <c r="L147" s="57">
        <v>3.6</v>
      </c>
      <c r="O147" s="57">
        <v>3.4</v>
      </c>
      <c r="R147" s="57">
        <v>3.5</v>
      </c>
      <c r="AG147" s="57">
        <v>0.72929999999999995</v>
      </c>
      <c r="AJ147" s="57">
        <v>4.5999999999999996</v>
      </c>
      <c r="AM147" s="57">
        <v>4.9000000000000004</v>
      </c>
      <c r="AP147" s="57">
        <v>4.5999999999999996</v>
      </c>
      <c r="BE147" s="57">
        <v>0.31909999999999999</v>
      </c>
    </row>
    <row r="148" spans="1:57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  <c r="AJ148" s="57">
        <v>4.3</v>
      </c>
      <c r="AM148" s="57">
        <v>4.0999999999999996</v>
      </c>
      <c r="AP148" s="57">
        <v>4</v>
      </c>
      <c r="BE148" s="57">
        <v>0.4123</v>
      </c>
    </row>
    <row r="149" spans="1:57" x14ac:dyDescent="0.2">
      <c r="A149" s="57" t="s">
        <v>114</v>
      </c>
      <c r="B149" s="76" t="s">
        <v>133</v>
      </c>
      <c r="D149" s="54" t="s">
        <v>64</v>
      </c>
      <c r="E149" s="57">
        <v>2011</v>
      </c>
      <c r="I149" s="57">
        <v>4.2</v>
      </c>
      <c r="L149" s="57">
        <v>4.0999999999999996</v>
      </c>
      <c r="O149" s="57">
        <v>4.0999999999999996</v>
      </c>
      <c r="AG149" s="57">
        <v>1.0687</v>
      </c>
      <c r="AJ149" s="57">
        <v>5.2</v>
      </c>
      <c r="AM149" s="57">
        <v>4.5</v>
      </c>
      <c r="AP149" s="57">
        <v>4.8</v>
      </c>
      <c r="AS149" s="57">
        <v>5</v>
      </c>
      <c r="BE149" s="57">
        <v>0.72360000000000002</v>
      </c>
    </row>
    <row r="150" spans="1:57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  <c r="I150" s="57">
        <v>3.5</v>
      </c>
      <c r="L150" s="57">
        <v>3.4</v>
      </c>
      <c r="O150" s="57">
        <v>3.4</v>
      </c>
      <c r="AG150" s="57">
        <v>0.84740000000000004</v>
      </c>
      <c r="AJ150" s="57">
        <v>4</v>
      </c>
      <c r="AM150" s="57">
        <v>3</v>
      </c>
      <c r="AP150" s="57">
        <v>4.2</v>
      </c>
      <c r="BE150" s="57">
        <v>0.66590000000000005</v>
      </c>
    </row>
    <row r="151" spans="1:57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  <c r="AG151" s="57">
        <v>1.0764</v>
      </c>
      <c r="AJ151" s="57">
        <v>3.9</v>
      </c>
      <c r="AM151" s="57">
        <v>3.9</v>
      </c>
      <c r="AP151" s="57">
        <v>4</v>
      </c>
      <c r="BE151" s="57">
        <v>1.0154000000000001</v>
      </c>
    </row>
    <row r="152" spans="1:57" x14ac:dyDescent="0.2">
      <c r="A152" s="57" t="s">
        <v>134</v>
      </c>
      <c r="B152" s="76" t="s">
        <v>135</v>
      </c>
      <c r="D152" s="54" t="s">
        <v>64</v>
      </c>
      <c r="E152" s="57">
        <v>2008</v>
      </c>
    </row>
    <row r="153" spans="1:57" x14ac:dyDescent="0.2">
      <c r="D153" s="3"/>
    </row>
    <row r="154" spans="1:57" x14ac:dyDescent="0.2">
      <c r="D154" s="3"/>
    </row>
    <row r="155" spans="1:57" x14ac:dyDescent="0.2">
      <c r="D155" s="3"/>
    </row>
    <row r="156" spans="1:57" x14ac:dyDescent="0.2">
      <c r="D156" s="3"/>
    </row>
    <row r="157" spans="1:57" x14ac:dyDescent="0.2">
      <c r="D157" s="3"/>
    </row>
    <row r="158" spans="1:57" x14ac:dyDescent="0.2">
      <c r="D158" s="3"/>
    </row>
    <row r="159" spans="1:57" x14ac:dyDescent="0.2">
      <c r="D159" s="3"/>
    </row>
    <row r="160" spans="1:57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796875" customWidth="1"/>
    <col min="2" max="2" width="8.59765625" customWidth="1"/>
    <col min="3" max="3" width="7.796875" customWidth="1"/>
    <col min="4" max="4" width="6.59765625" customWidth="1"/>
    <col min="5" max="5" width="11" customWidth="1"/>
    <col min="6" max="7" width="8.19921875" customWidth="1"/>
    <col min="8" max="8" width="8.796875" customWidth="1"/>
    <col min="9" max="9" width="7.59765625" customWidth="1"/>
    <col min="10" max="10" width="8.796875" customWidth="1"/>
    <col min="11" max="11" width="8.19921875" customWidth="1"/>
    <col min="12" max="12" width="7.19921875" customWidth="1"/>
  </cols>
  <sheetData>
    <row r="1" spans="1:26" x14ac:dyDescent="0.2">
      <c r="A1" s="68" t="s">
        <v>12</v>
      </c>
      <c r="B1" s="68" t="s">
        <v>148</v>
      </c>
      <c r="C1" s="68" t="s">
        <v>149</v>
      </c>
      <c r="D1" s="68" t="s">
        <v>150</v>
      </c>
      <c r="E1" s="68" t="s">
        <v>151</v>
      </c>
      <c r="F1" s="68" t="s">
        <v>152</v>
      </c>
      <c r="G1" s="68" t="s">
        <v>153</v>
      </c>
      <c r="H1" s="68" t="s">
        <v>154</v>
      </c>
      <c r="I1" s="68" t="s">
        <v>155</v>
      </c>
      <c r="J1" s="68" t="s">
        <v>156</v>
      </c>
      <c r="K1" s="68" t="s">
        <v>157</v>
      </c>
      <c r="L1" s="68" t="s">
        <v>158</v>
      </c>
      <c r="M1" s="68" t="s">
        <v>26</v>
      </c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x14ac:dyDescent="0.2">
      <c r="A2" s="57" t="s">
        <v>59</v>
      </c>
      <c r="B2" s="57">
        <v>2345</v>
      </c>
      <c r="C2" s="57">
        <v>1</v>
      </c>
      <c r="D2" s="57">
        <v>1</v>
      </c>
      <c r="F2" s="57">
        <v>2.7010000000000001</v>
      </c>
      <c r="G2" s="57">
        <v>1.512</v>
      </c>
      <c r="H2" s="57">
        <v>0.83499999999999996</v>
      </c>
      <c r="I2" s="57">
        <v>0.442</v>
      </c>
      <c r="J2" s="57">
        <v>12.22</v>
      </c>
      <c r="K2" s="33">
        <f>AVERAGE(2.18,2.12,2.09,2.15)</f>
        <v>2.1350000000000002</v>
      </c>
      <c r="L2" s="70">
        <v>44628</v>
      </c>
    </row>
    <row r="3" spans="1:26" x14ac:dyDescent="0.2">
      <c r="A3" s="57" t="s">
        <v>59</v>
      </c>
      <c r="B3" s="57">
        <v>2380</v>
      </c>
      <c r="C3" s="57">
        <v>3</v>
      </c>
      <c r="D3" s="57">
        <v>1</v>
      </c>
      <c r="F3" s="57">
        <v>1.0669999999999999</v>
      </c>
      <c r="G3" s="57">
        <v>0.64700000000000002</v>
      </c>
      <c r="H3" s="57">
        <v>0.45300000000000001</v>
      </c>
      <c r="I3" s="57">
        <v>0.24</v>
      </c>
      <c r="J3" s="57">
        <v>7.29</v>
      </c>
      <c r="K3" s="33">
        <f>AVERAGE(1.69,1.64,1.57,1.59)</f>
        <v>1.6225000000000001</v>
      </c>
      <c r="L3" s="70">
        <v>44628</v>
      </c>
    </row>
    <row r="4" spans="1:26" x14ac:dyDescent="0.2">
      <c r="A4" s="57" t="s">
        <v>59</v>
      </c>
      <c r="B4" s="57">
        <v>2377</v>
      </c>
      <c r="C4" s="57">
        <v>1</v>
      </c>
      <c r="D4" s="57">
        <v>0</v>
      </c>
      <c r="F4" s="57">
        <v>0.52800000000000002</v>
      </c>
      <c r="G4" s="57">
        <v>0.14699999999999999</v>
      </c>
      <c r="H4" s="57">
        <v>6.5000000000000002E-2</v>
      </c>
      <c r="I4" s="57">
        <v>1.9E-2</v>
      </c>
      <c r="J4" s="57">
        <v>2.4700000000000002</v>
      </c>
      <c r="K4" s="33">
        <f>AVERAGE(0.91,0.75,0.86,0.91)</f>
        <v>0.85750000000000004</v>
      </c>
      <c r="L4" s="70">
        <v>44628</v>
      </c>
    </row>
    <row r="5" spans="1:26" x14ac:dyDescent="0.2">
      <c r="A5" s="57" t="s">
        <v>59</v>
      </c>
      <c r="B5" s="57">
        <v>2352</v>
      </c>
      <c r="C5" s="57">
        <v>1</v>
      </c>
      <c r="D5" s="57">
        <v>1</v>
      </c>
      <c r="F5" s="57">
        <v>1.105</v>
      </c>
      <c r="G5" s="57">
        <v>0.71699999999999997</v>
      </c>
      <c r="H5" s="57">
        <v>0.28299999999999997</v>
      </c>
      <c r="I5" s="57">
        <v>0.154</v>
      </c>
      <c r="J5" s="57">
        <v>8.31</v>
      </c>
      <c r="K5" s="33">
        <f>AVERAGE(1.37,1.38,1.37,1.5)</f>
        <v>1.405</v>
      </c>
      <c r="L5" s="70">
        <v>44628</v>
      </c>
    </row>
    <row r="6" spans="1:26" x14ac:dyDescent="0.2">
      <c r="A6" s="57" t="s">
        <v>159</v>
      </c>
      <c r="B6" s="57">
        <v>2004</v>
      </c>
      <c r="C6" s="57">
        <v>3</v>
      </c>
      <c r="D6" s="57">
        <v>0</v>
      </c>
      <c r="F6" s="57">
        <v>0.27400000000000002</v>
      </c>
      <c r="G6" s="57">
        <v>8.3000000000000004E-2</v>
      </c>
      <c r="H6" s="57">
        <v>5.6000000000000001E-2</v>
      </c>
      <c r="I6" s="57">
        <v>1.6E-2</v>
      </c>
      <c r="J6" s="57">
        <v>2.21</v>
      </c>
      <c r="K6" s="57" t="s">
        <v>60</v>
      </c>
      <c r="L6" s="70">
        <v>44628</v>
      </c>
    </row>
    <row r="7" spans="1:26" x14ac:dyDescent="0.2">
      <c r="A7" s="57" t="s">
        <v>59</v>
      </c>
      <c r="B7" s="57">
        <v>2354</v>
      </c>
      <c r="C7" s="57">
        <v>2</v>
      </c>
      <c r="D7" s="57">
        <v>1</v>
      </c>
      <c r="E7" s="57" t="s">
        <v>160</v>
      </c>
      <c r="F7" s="57">
        <v>1.073</v>
      </c>
      <c r="G7" s="57">
        <v>0.64300000000000002</v>
      </c>
      <c r="H7" s="57">
        <v>0.155</v>
      </c>
      <c r="I7" s="57">
        <v>7.9000000000000001E-2</v>
      </c>
      <c r="J7" s="57">
        <v>5.14</v>
      </c>
      <c r="K7" s="33">
        <f>AVERAGE(1.43,1.47,1.49,1.56)</f>
        <v>1.4874999999999998</v>
      </c>
      <c r="L7" s="70">
        <v>44628</v>
      </c>
    </row>
    <row r="8" spans="1:26" x14ac:dyDescent="0.2">
      <c r="A8" s="57" t="s">
        <v>59</v>
      </c>
      <c r="B8" s="57">
        <v>2377</v>
      </c>
      <c r="C8" s="57">
        <v>4</v>
      </c>
      <c r="D8" s="57">
        <v>1</v>
      </c>
      <c r="E8" s="57" t="s">
        <v>161</v>
      </c>
      <c r="F8" s="57">
        <v>0.20399999999999999</v>
      </c>
      <c r="G8" s="57">
        <v>0.123</v>
      </c>
      <c r="H8" s="57">
        <v>0.27900000000000003</v>
      </c>
      <c r="I8" s="57">
        <v>0.13200000000000001</v>
      </c>
      <c r="J8" s="57">
        <v>4.01</v>
      </c>
      <c r="K8" s="33">
        <f>AVERAGE(2.12,2.34,2.42,2.18)</f>
        <v>2.2650000000000001</v>
      </c>
      <c r="L8" s="70">
        <v>44628</v>
      </c>
    </row>
    <row r="9" spans="1:26" x14ac:dyDescent="0.2">
      <c r="A9" s="57" t="s">
        <v>59</v>
      </c>
      <c r="B9" s="57">
        <v>2354</v>
      </c>
      <c r="C9" s="57">
        <v>2</v>
      </c>
      <c r="D9" s="57">
        <v>1</v>
      </c>
      <c r="E9" s="57" t="s">
        <v>161</v>
      </c>
      <c r="F9" s="57">
        <v>0.20499999999999999</v>
      </c>
      <c r="G9" s="57">
        <v>0.114</v>
      </c>
      <c r="H9" s="57">
        <v>3.5999999999999997E-2</v>
      </c>
      <c r="I9" s="57">
        <v>1.7000000000000001E-2</v>
      </c>
      <c r="J9" s="57">
        <v>1.66</v>
      </c>
      <c r="K9" s="33">
        <f>AVERAGE(1.14,1.06,1.17,0.99)</f>
        <v>1.0900000000000001</v>
      </c>
      <c r="L9" s="70">
        <v>44628</v>
      </c>
    </row>
    <row r="10" spans="1:26" x14ac:dyDescent="0.2">
      <c r="A10" s="57" t="s">
        <v>59</v>
      </c>
      <c r="B10" s="57">
        <v>2354</v>
      </c>
      <c r="C10" s="57">
        <v>2</v>
      </c>
      <c r="D10" s="57">
        <v>2</v>
      </c>
      <c r="F10" s="57">
        <v>1.671</v>
      </c>
      <c r="G10" s="57">
        <v>0.98</v>
      </c>
      <c r="H10" s="57">
        <v>0.67900000000000005</v>
      </c>
      <c r="I10" s="57">
        <v>0.34599999999999997</v>
      </c>
      <c r="J10" s="57">
        <v>9.0399999999999991</v>
      </c>
      <c r="K10" s="33">
        <f>AVERAGE(1.81,1.82,1.76,1.84)</f>
        <v>1.8074999999999999</v>
      </c>
      <c r="L10" s="70">
        <v>44628</v>
      </c>
    </row>
    <row r="11" spans="1:26" x14ac:dyDescent="0.2">
      <c r="A11" s="57" t="s">
        <v>59</v>
      </c>
      <c r="B11" s="57">
        <v>2352</v>
      </c>
      <c r="C11" s="57">
        <v>4</v>
      </c>
      <c r="D11" s="57">
        <v>1</v>
      </c>
      <c r="F11" s="57">
        <v>1.3939999999999999</v>
      </c>
      <c r="G11" s="57">
        <v>0.87</v>
      </c>
      <c r="H11" s="57">
        <v>0.38200000000000001</v>
      </c>
      <c r="I11" s="57">
        <v>0.221</v>
      </c>
      <c r="J11" s="57">
        <v>11.76</v>
      </c>
      <c r="K11" s="33">
        <f>AVERAGE(1.69,1.71,1.72,1.76)</f>
        <v>1.72</v>
      </c>
      <c r="L11" s="70">
        <v>44628</v>
      </c>
    </row>
    <row r="12" spans="1:26" x14ac:dyDescent="0.2">
      <c r="A12" s="57" t="s">
        <v>59</v>
      </c>
      <c r="B12" s="57">
        <v>2376</v>
      </c>
      <c r="C12" s="57">
        <v>5</v>
      </c>
      <c r="D12" s="57">
        <v>1</v>
      </c>
      <c r="F12" s="57">
        <v>0.68100000000000005</v>
      </c>
      <c r="G12" s="57">
        <v>0.28299999999999997</v>
      </c>
      <c r="H12" s="57">
        <v>5.5E-2</v>
      </c>
      <c r="I12" s="57">
        <v>5.1999999999999998E-2</v>
      </c>
      <c r="J12" s="57">
        <v>2.82</v>
      </c>
      <c r="K12" s="33">
        <f>AVERAGE(1.43,1.32,1.27,1.34)</f>
        <v>1.3399999999999999</v>
      </c>
      <c r="L12" s="70">
        <v>44628</v>
      </c>
    </row>
    <row r="13" spans="1:26" x14ac:dyDescent="0.2">
      <c r="A13" s="57" t="s">
        <v>59</v>
      </c>
      <c r="B13" s="57">
        <v>2380</v>
      </c>
      <c r="C13" s="57">
        <v>2</v>
      </c>
      <c r="D13" s="57">
        <v>1</v>
      </c>
      <c r="E13" s="57" t="s">
        <v>160</v>
      </c>
      <c r="F13" s="57">
        <v>2.4500000000000002</v>
      </c>
      <c r="G13" s="57">
        <v>1.5</v>
      </c>
      <c r="H13" s="57">
        <v>0.56000000000000005</v>
      </c>
      <c r="I13" s="57">
        <v>0.27200000000000002</v>
      </c>
      <c r="J13" s="57">
        <v>8.24</v>
      </c>
      <c r="K13" s="33">
        <f>AVERAGE(2.27,1.86,1.89,1.84)</f>
        <v>1.9649999999999999</v>
      </c>
      <c r="L13" s="70">
        <v>44628</v>
      </c>
    </row>
    <row r="14" spans="1:26" x14ac:dyDescent="0.2">
      <c r="A14" s="57" t="s">
        <v>59</v>
      </c>
      <c r="B14" s="57">
        <v>2354</v>
      </c>
      <c r="C14" s="57">
        <v>1</v>
      </c>
      <c r="D14" s="57">
        <v>1</v>
      </c>
      <c r="F14" s="57">
        <v>0.69799999999999995</v>
      </c>
      <c r="G14" s="57">
        <v>0.39800000000000002</v>
      </c>
      <c r="H14" s="57">
        <v>0.10299999999999999</v>
      </c>
      <c r="I14" s="57">
        <v>4.7E-2</v>
      </c>
      <c r="J14" s="57">
        <v>3.81</v>
      </c>
      <c r="K14" s="33">
        <f>AVERAGE(0.97,1.03,1.18,1.1)</f>
        <v>1.0699999999999998</v>
      </c>
      <c r="L14" s="70">
        <v>44628</v>
      </c>
    </row>
    <row r="15" spans="1:26" x14ac:dyDescent="0.2">
      <c r="A15" s="57" t="s">
        <v>59</v>
      </c>
      <c r="B15" s="57">
        <v>2345</v>
      </c>
      <c r="C15" s="57">
        <v>2</v>
      </c>
      <c r="D15" s="57">
        <v>1</v>
      </c>
      <c r="F15" s="57">
        <v>0.93200000000000005</v>
      </c>
      <c r="G15" s="57">
        <v>0.52900000000000003</v>
      </c>
      <c r="H15" s="57">
        <v>0.35499999999999998</v>
      </c>
      <c r="I15" s="57">
        <v>0.17599999999999999</v>
      </c>
      <c r="J15" s="57">
        <v>4.87</v>
      </c>
      <c r="K15" s="33">
        <f>AVERAGE(1.74,1.99,1.84,1.81)</f>
        <v>1.8450000000000002</v>
      </c>
      <c r="L15" s="70">
        <v>44628</v>
      </c>
    </row>
    <row r="16" spans="1:26" x14ac:dyDescent="0.2">
      <c r="A16" s="57" t="s">
        <v>59</v>
      </c>
      <c r="B16" s="57">
        <v>2354</v>
      </c>
      <c r="C16" s="57">
        <v>4</v>
      </c>
      <c r="D16" s="57">
        <v>1</v>
      </c>
      <c r="F16" s="57">
        <v>0.46800000000000003</v>
      </c>
      <c r="G16" s="57">
        <v>0.26800000000000002</v>
      </c>
      <c r="H16" s="57">
        <v>0.107</v>
      </c>
      <c r="I16" s="57">
        <v>5.0999999999999997E-2</v>
      </c>
      <c r="J16" s="57">
        <v>4.53</v>
      </c>
      <c r="K16" s="33">
        <f>AVERAGE(1.21,1.08,1.01,1.02)</f>
        <v>1.08</v>
      </c>
      <c r="L16" s="70">
        <v>44628</v>
      </c>
    </row>
    <row r="17" spans="1:12" x14ac:dyDescent="0.2">
      <c r="A17" s="57" t="s">
        <v>59</v>
      </c>
      <c r="B17" s="57">
        <v>2376</v>
      </c>
      <c r="C17" s="57">
        <v>2</v>
      </c>
      <c r="D17" s="57">
        <v>1</v>
      </c>
      <c r="F17" s="57">
        <v>2.4039999999999999</v>
      </c>
      <c r="G17" s="57">
        <v>1.1559999999999999</v>
      </c>
      <c r="H17" s="57">
        <v>0.29099999999999998</v>
      </c>
      <c r="I17" s="57">
        <v>0.123</v>
      </c>
      <c r="J17" s="57">
        <v>5.27</v>
      </c>
      <c r="K17" s="33">
        <f>AVERAGE(1.56,1.57,1.58,1.63)</f>
        <v>1.585</v>
      </c>
      <c r="L17" s="70">
        <v>44628</v>
      </c>
    </row>
    <row r="18" spans="1:12" x14ac:dyDescent="0.2">
      <c r="A18" s="57" t="s">
        <v>159</v>
      </c>
      <c r="B18" s="57">
        <v>2004</v>
      </c>
      <c r="C18" s="57">
        <v>4</v>
      </c>
      <c r="D18" s="57">
        <v>0</v>
      </c>
      <c r="F18" s="57">
        <v>0.34899999999999998</v>
      </c>
      <c r="G18" s="57">
        <v>0.112</v>
      </c>
      <c r="H18" s="57">
        <v>9.4E-2</v>
      </c>
      <c r="I18" s="57">
        <v>2.3E-2</v>
      </c>
      <c r="J18" s="57">
        <v>2.78</v>
      </c>
      <c r="K18" s="57" t="s">
        <v>60</v>
      </c>
      <c r="L18" s="70">
        <v>44628</v>
      </c>
    </row>
    <row r="19" spans="1:12" x14ac:dyDescent="0.2">
      <c r="A19" s="57" t="s">
        <v>59</v>
      </c>
      <c r="B19" s="57">
        <v>2380</v>
      </c>
      <c r="C19" s="57">
        <v>1</v>
      </c>
      <c r="D19" s="57">
        <v>1</v>
      </c>
      <c r="E19" s="57" t="s">
        <v>160</v>
      </c>
      <c r="F19" s="57">
        <v>1.373</v>
      </c>
      <c r="G19" s="57">
        <v>0.85699999999999998</v>
      </c>
      <c r="H19" s="57">
        <v>0.215</v>
      </c>
      <c r="I19" s="57">
        <v>0.13100000000000001</v>
      </c>
      <c r="J19" s="57">
        <v>3.56</v>
      </c>
      <c r="K19" s="33">
        <f>AVERAGE(1.9,1.68,1.72,1.74)</f>
        <v>1.76</v>
      </c>
      <c r="L19" s="70">
        <v>44628</v>
      </c>
    </row>
    <row r="20" spans="1:12" x14ac:dyDescent="0.2">
      <c r="A20" s="57" t="s">
        <v>59</v>
      </c>
      <c r="B20" s="57">
        <v>2301</v>
      </c>
      <c r="C20" s="57">
        <v>3</v>
      </c>
      <c r="D20" s="57">
        <v>1</v>
      </c>
      <c r="F20" s="57">
        <v>5.2309999999999999</v>
      </c>
      <c r="G20" s="57">
        <v>2.8540000000000001</v>
      </c>
      <c r="H20" s="57">
        <v>0.70699999999999996</v>
      </c>
      <c r="I20" s="57">
        <v>0.35799999999999998</v>
      </c>
      <c r="J20" s="57">
        <v>11.05</v>
      </c>
      <c r="K20" s="33">
        <f>AVERAGE(2.19,2.16,2.18,2.29)</f>
        <v>2.2050000000000001</v>
      </c>
      <c r="L20" s="70">
        <v>44628</v>
      </c>
    </row>
    <row r="21" spans="1:12" x14ac:dyDescent="0.2">
      <c r="A21" s="57" t="s">
        <v>59</v>
      </c>
      <c r="B21" s="57">
        <v>2380</v>
      </c>
      <c r="C21" s="57">
        <v>4</v>
      </c>
      <c r="D21" s="57">
        <v>1</v>
      </c>
      <c r="F21" s="57">
        <v>0.95899999999999996</v>
      </c>
      <c r="G21" s="57">
        <v>0.58599999999999997</v>
      </c>
      <c r="H21" s="57">
        <v>0.32900000000000001</v>
      </c>
      <c r="I21" s="57">
        <v>0.191</v>
      </c>
      <c r="J21" s="57">
        <v>5.69</v>
      </c>
      <c r="K21" s="33">
        <f>AVERAGE(1.65,1.53,1.85,1.83)</f>
        <v>1.7149999999999999</v>
      </c>
      <c r="L21" s="70">
        <v>44628</v>
      </c>
    </row>
    <row r="22" spans="1:12" x14ac:dyDescent="0.2">
      <c r="A22" s="57" t="s">
        <v>59</v>
      </c>
      <c r="B22" s="57">
        <v>2376</v>
      </c>
      <c r="C22" s="57">
        <v>6</v>
      </c>
      <c r="D22" s="57">
        <v>1</v>
      </c>
      <c r="F22" s="57">
        <v>0.48</v>
      </c>
      <c r="G22" s="57">
        <v>0.97899999999999998</v>
      </c>
      <c r="H22" s="57">
        <v>9.4E-2</v>
      </c>
      <c r="I22" s="57">
        <v>0.14000000000000001</v>
      </c>
      <c r="J22" s="57">
        <v>5.58</v>
      </c>
      <c r="K22" s="33">
        <f>AVERAGE(1.6,1.62,1.5,1.63)</f>
        <v>1.5875000000000001</v>
      </c>
      <c r="L22" s="70">
        <v>44628</v>
      </c>
    </row>
    <row r="23" spans="1:12" x14ac:dyDescent="0.2">
      <c r="A23" s="57" t="s">
        <v>59</v>
      </c>
      <c r="B23" s="57">
        <v>2376</v>
      </c>
      <c r="C23" s="57">
        <v>1</v>
      </c>
      <c r="D23" s="57">
        <v>1</v>
      </c>
      <c r="F23" s="57">
        <v>1.671</v>
      </c>
      <c r="G23" s="57">
        <v>1.375</v>
      </c>
      <c r="H23" s="57">
        <v>0.26500000000000001</v>
      </c>
      <c r="I23" s="57">
        <v>0.14899999999999999</v>
      </c>
      <c r="J23" s="57">
        <v>5.57</v>
      </c>
      <c r="K23" s="33">
        <f>AVERAGE(1.75,1.66,1.66,1.71)</f>
        <v>1.6950000000000001</v>
      </c>
      <c r="L23" s="70">
        <v>44628</v>
      </c>
    </row>
    <row r="24" spans="1:12" x14ac:dyDescent="0.2">
      <c r="A24" s="57" t="s">
        <v>159</v>
      </c>
      <c r="B24" s="57">
        <v>2005</v>
      </c>
      <c r="C24" s="57">
        <v>3</v>
      </c>
      <c r="D24" s="57">
        <v>0</v>
      </c>
      <c r="F24" s="57">
        <v>2.0670000000000002</v>
      </c>
      <c r="G24" s="57">
        <v>0.68899999999999995</v>
      </c>
      <c r="H24" s="57">
        <v>0.214</v>
      </c>
      <c r="I24" s="57">
        <v>6.6000000000000003E-2</v>
      </c>
      <c r="J24" s="57">
        <v>3.47</v>
      </c>
      <c r="K24" s="57" t="s">
        <v>60</v>
      </c>
      <c r="L24" s="70">
        <v>44628</v>
      </c>
    </row>
    <row r="25" spans="1:12" x14ac:dyDescent="0.2">
      <c r="A25" s="57" t="s">
        <v>59</v>
      </c>
      <c r="B25" s="57">
        <v>2377</v>
      </c>
      <c r="C25" s="57">
        <v>1</v>
      </c>
      <c r="D25" s="57">
        <v>1</v>
      </c>
      <c r="E25" s="57" t="s">
        <v>160</v>
      </c>
      <c r="F25" s="57">
        <v>0.33700000000000002</v>
      </c>
      <c r="G25" s="57">
        <v>0.19400000000000001</v>
      </c>
      <c r="H25" s="57">
        <v>0.23200000000000001</v>
      </c>
      <c r="I25" s="57">
        <v>0.11</v>
      </c>
      <c r="J25" s="57">
        <v>4.05</v>
      </c>
      <c r="K25" s="33">
        <f>AVERAGE(1.66,1.76,1.8,1.81)</f>
        <v>1.7574999999999998</v>
      </c>
      <c r="L25" s="70">
        <v>44628</v>
      </c>
    </row>
    <row r="26" spans="1:12" x14ac:dyDescent="0.2">
      <c r="A26" s="57" t="s">
        <v>59</v>
      </c>
      <c r="B26" s="57">
        <v>2377</v>
      </c>
      <c r="C26" s="57">
        <v>1</v>
      </c>
      <c r="D26" s="57">
        <v>1</v>
      </c>
      <c r="E26" s="57" t="s">
        <v>161</v>
      </c>
      <c r="F26" s="57">
        <v>0.16900000000000001</v>
      </c>
      <c r="G26" s="57">
        <v>9.4E-2</v>
      </c>
      <c r="H26" s="57">
        <v>5.7000000000000002E-2</v>
      </c>
      <c r="I26" s="57">
        <v>2.7E-2</v>
      </c>
      <c r="J26" s="57">
        <v>1.83</v>
      </c>
      <c r="K26" s="33">
        <f>AVERAGE(1.12,1,1.13,1.04)</f>
        <v>1.0725</v>
      </c>
      <c r="L26" s="70">
        <v>44628</v>
      </c>
    </row>
    <row r="27" spans="1:12" x14ac:dyDescent="0.2">
      <c r="A27" s="57" t="s">
        <v>59</v>
      </c>
      <c r="B27" s="57">
        <v>2354</v>
      </c>
      <c r="C27" s="57">
        <v>1</v>
      </c>
      <c r="D27" s="57">
        <v>0</v>
      </c>
      <c r="F27" s="57">
        <v>0.29899999999999999</v>
      </c>
      <c r="G27" s="57">
        <v>8.5999999999999993E-2</v>
      </c>
      <c r="H27" s="57">
        <v>4.3999999999999997E-2</v>
      </c>
      <c r="I27" s="57">
        <v>1.2E-2</v>
      </c>
      <c r="J27" s="57">
        <v>2.31</v>
      </c>
      <c r="K27" s="33">
        <f>AVERAGE(0.49,0.45,0.42,0.47)</f>
        <v>0.45749999999999996</v>
      </c>
      <c r="L27" s="70">
        <v>44628</v>
      </c>
    </row>
    <row r="28" spans="1:12" x14ac:dyDescent="0.2">
      <c r="A28" s="57" t="s">
        <v>159</v>
      </c>
      <c r="B28" s="57">
        <v>2006</v>
      </c>
      <c r="C28" s="57">
        <v>3</v>
      </c>
      <c r="D28" s="57">
        <v>0</v>
      </c>
      <c r="F28" s="57">
        <v>0.55000000000000004</v>
      </c>
      <c r="G28" s="57">
        <v>0.16900000000000001</v>
      </c>
      <c r="H28" s="57">
        <v>4.2000000000000003E-2</v>
      </c>
      <c r="I28" s="57">
        <v>1.2E-2</v>
      </c>
      <c r="J28" s="57">
        <v>1.1000000000000001</v>
      </c>
      <c r="K28" s="57" t="s">
        <v>60</v>
      </c>
      <c r="L28" s="70">
        <v>44628</v>
      </c>
    </row>
    <row r="29" spans="1:12" x14ac:dyDescent="0.2">
      <c r="A29" s="57" t="s">
        <v>59</v>
      </c>
      <c r="B29" s="57">
        <v>2377</v>
      </c>
      <c r="C29" s="57">
        <v>6</v>
      </c>
      <c r="D29" s="57">
        <v>1</v>
      </c>
      <c r="F29" s="57">
        <v>0.69799999999999995</v>
      </c>
      <c r="G29" s="57">
        <v>0.38600000000000001</v>
      </c>
      <c r="H29" s="57">
        <v>0.155</v>
      </c>
      <c r="I29" s="57">
        <v>7.6999999999999999E-2</v>
      </c>
      <c r="J29" s="57">
        <v>5.13</v>
      </c>
      <c r="K29" s="33">
        <f>AVERAGE(1.39,1.43,1.53,1.59)</f>
        <v>1.4849999999999999</v>
      </c>
      <c r="L29" s="70">
        <v>44628</v>
      </c>
    </row>
    <row r="30" spans="1:12" x14ac:dyDescent="0.2">
      <c r="A30" s="57" t="s">
        <v>59</v>
      </c>
      <c r="B30" s="57">
        <v>2331</v>
      </c>
      <c r="C30" s="57">
        <v>6</v>
      </c>
      <c r="D30" s="57">
        <v>1</v>
      </c>
      <c r="F30" s="57">
        <v>0.64400000000000002</v>
      </c>
      <c r="G30" s="57">
        <v>0.36599999999999999</v>
      </c>
      <c r="H30" s="57">
        <v>0.16400000000000001</v>
      </c>
      <c r="I30" s="57">
        <v>8.2000000000000003E-2</v>
      </c>
      <c r="J30" s="57">
        <v>4.53</v>
      </c>
      <c r="K30" s="33">
        <f>AVERAGE(1.26,1.38,1.33,1.35)</f>
        <v>1.33</v>
      </c>
      <c r="L30" s="70">
        <v>44628</v>
      </c>
    </row>
    <row r="31" spans="1:12" x14ac:dyDescent="0.2">
      <c r="A31" s="57" t="s">
        <v>59</v>
      </c>
      <c r="B31" s="57">
        <v>2376</v>
      </c>
      <c r="C31" s="57">
        <v>3</v>
      </c>
      <c r="D31" s="57">
        <v>1</v>
      </c>
      <c r="F31" s="57">
        <v>2.0350000000000001</v>
      </c>
      <c r="G31" s="57">
        <v>1.0589999999999999</v>
      </c>
      <c r="H31" s="57">
        <v>0.24299999999999999</v>
      </c>
      <c r="I31" s="57">
        <v>0.122</v>
      </c>
      <c r="J31" s="57">
        <v>5.16</v>
      </c>
      <c r="K31" s="33">
        <f>AVERAGE(1.57,1.58,1.59,1.61)</f>
        <v>1.5875000000000001</v>
      </c>
      <c r="L31" s="70">
        <v>44628</v>
      </c>
    </row>
    <row r="32" spans="1:12" x14ac:dyDescent="0.2">
      <c r="A32" s="57" t="s">
        <v>59</v>
      </c>
      <c r="B32" s="57">
        <v>2377</v>
      </c>
      <c r="C32" s="57">
        <v>3</v>
      </c>
      <c r="D32" s="57">
        <v>2</v>
      </c>
      <c r="F32" s="57">
        <v>2.3340000000000001</v>
      </c>
      <c r="G32" s="57">
        <v>1.341</v>
      </c>
      <c r="H32" s="57">
        <v>0.84699999999999998</v>
      </c>
      <c r="I32" s="57">
        <v>0.435</v>
      </c>
      <c r="J32" s="57">
        <v>12.85</v>
      </c>
      <c r="K32" s="33">
        <f>AVERAGE(2.08,2.25,2.57,2.19)</f>
        <v>2.2725</v>
      </c>
      <c r="L32" s="70">
        <v>44628</v>
      </c>
    </row>
    <row r="33" spans="1:12" x14ac:dyDescent="0.2">
      <c r="A33" s="57" t="s">
        <v>59</v>
      </c>
      <c r="B33" s="57">
        <v>2377</v>
      </c>
      <c r="C33" s="57">
        <v>2</v>
      </c>
      <c r="D33" s="57">
        <v>2</v>
      </c>
      <c r="F33" s="57">
        <v>1.143</v>
      </c>
      <c r="G33" s="57">
        <v>0.69599999999999995</v>
      </c>
      <c r="H33" s="57">
        <v>0.28799999999999998</v>
      </c>
      <c r="I33" s="57">
        <v>0.15</v>
      </c>
      <c r="J33" s="57">
        <v>3.81</v>
      </c>
      <c r="K33" s="33">
        <f>AVERAGE(1.83,1.6,1.64,1.9)</f>
        <v>1.7425000000000002</v>
      </c>
      <c r="L33" s="70">
        <v>44628</v>
      </c>
    </row>
    <row r="34" spans="1:12" x14ac:dyDescent="0.2">
      <c r="A34" s="57" t="s">
        <v>59</v>
      </c>
      <c r="B34" s="57">
        <v>2345</v>
      </c>
      <c r="C34" s="57">
        <v>6</v>
      </c>
      <c r="D34" s="57">
        <v>1</v>
      </c>
      <c r="F34" s="57">
        <v>2.8639999999999999</v>
      </c>
      <c r="G34" s="57">
        <v>1.609</v>
      </c>
      <c r="H34" s="57">
        <v>0.70599999999999996</v>
      </c>
      <c r="I34" s="57">
        <v>0.33400000000000002</v>
      </c>
      <c r="J34" s="57">
        <v>10.24</v>
      </c>
      <c r="K34" s="33">
        <f>AVERAGE(1.96,1.81,1.86,2.03)</f>
        <v>1.915</v>
      </c>
      <c r="L34" s="70">
        <v>44628</v>
      </c>
    </row>
    <row r="35" spans="1:12" x14ac:dyDescent="0.2">
      <c r="A35" s="57" t="s">
        <v>59</v>
      </c>
      <c r="B35" s="57">
        <v>2354</v>
      </c>
      <c r="C35" s="57">
        <v>4</v>
      </c>
      <c r="D35" s="57">
        <v>2</v>
      </c>
      <c r="F35" s="57">
        <v>0.36399999999999999</v>
      </c>
      <c r="G35" s="57">
        <v>0.218</v>
      </c>
      <c r="H35" s="57">
        <v>0.192</v>
      </c>
      <c r="I35" s="57">
        <v>9.4E-2</v>
      </c>
      <c r="J35" s="57">
        <v>3.38</v>
      </c>
      <c r="K35" s="33">
        <f>AVERAGE(1.58,1.69,1.58,1.55)</f>
        <v>1.5999999999999999</v>
      </c>
      <c r="L35" s="70">
        <v>44628</v>
      </c>
    </row>
    <row r="36" spans="1:12" x14ac:dyDescent="0.2">
      <c r="A36" s="57" t="s">
        <v>59</v>
      </c>
      <c r="B36" s="57">
        <v>2301</v>
      </c>
      <c r="C36" s="57">
        <v>5</v>
      </c>
      <c r="D36" s="57">
        <v>1</v>
      </c>
      <c r="F36" s="57">
        <v>0.99</v>
      </c>
      <c r="G36" s="57">
        <v>0.55900000000000005</v>
      </c>
      <c r="H36" s="57">
        <v>9.7000000000000003E-2</v>
      </c>
      <c r="I36" s="57">
        <v>4.7E-2</v>
      </c>
      <c r="J36" s="57">
        <v>1.99</v>
      </c>
      <c r="K36" s="33">
        <f>AVERAGE(1.52,1.45,1.37,1.42)</f>
        <v>1.44</v>
      </c>
      <c r="L36" s="70">
        <v>44628</v>
      </c>
    </row>
    <row r="37" spans="1:12" x14ac:dyDescent="0.2">
      <c r="A37" s="57" t="s">
        <v>159</v>
      </c>
      <c r="B37" s="57">
        <v>2005</v>
      </c>
      <c r="C37" s="57">
        <v>1</v>
      </c>
      <c r="D37" s="57">
        <v>0</v>
      </c>
      <c r="F37" s="57">
        <v>0.69</v>
      </c>
      <c r="G37" s="57">
        <v>0.21</v>
      </c>
      <c r="H37" s="57">
        <v>8.1000000000000003E-2</v>
      </c>
      <c r="I37" s="57">
        <v>2.4E-2</v>
      </c>
      <c r="J37" s="57">
        <v>2.5099999999999998</v>
      </c>
      <c r="K37" s="57" t="s">
        <v>60</v>
      </c>
      <c r="L37" s="70">
        <v>44628</v>
      </c>
    </row>
    <row r="38" spans="1:12" x14ac:dyDescent="0.2">
      <c r="A38" s="57" t="s">
        <v>59</v>
      </c>
      <c r="B38" s="57">
        <v>2377</v>
      </c>
      <c r="C38" s="57">
        <v>4</v>
      </c>
      <c r="D38" s="57">
        <v>0</v>
      </c>
      <c r="E38" s="57" t="s">
        <v>160</v>
      </c>
      <c r="F38" s="57">
        <v>1.419</v>
      </c>
      <c r="G38" s="57">
        <v>0.38500000000000001</v>
      </c>
      <c r="H38" s="57">
        <v>8.6999999999999994E-2</v>
      </c>
      <c r="I38" s="57">
        <v>2.7E-2</v>
      </c>
      <c r="J38" s="57">
        <v>2.91</v>
      </c>
      <c r="K38" s="33">
        <f>AVERAGE(1.12,1.02,1.04,0.97)</f>
        <v>1.0375000000000001</v>
      </c>
      <c r="L38" s="70">
        <v>44628</v>
      </c>
    </row>
    <row r="39" spans="1:12" x14ac:dyDescent="0.2">
      <c r="A39" s="57" t="s">
        <v>59</v>
      </c>
      <c r="B39" s="57">
        <v>2331</v>
      </c>
      <c r="C39" s="57">
        <v>4</v>
      </c>
      <c r="D39" s="57">
        <v>1</v>
      </c>
      <c r="F39" s="57">
        <v>1.716</v>
      </c>
      <c r="G39" s="57">
        <v>0.95599999999999996</v>
      </c>
      <c r="H39" s="57">
        <v>0.28799999999999998</v>
      </c>
      <c r="I39" s="57">
        <v>0.14099999999999999</v>
      </c>
      <c r="J39" s="57">
        <v>4.95</v>
      </c>
      <c r="K39" s="33">
        <f>AVERAGE(1.51,1.54,1.67,1.45)</f>
        <v>1.5425</v>
      </c>
      <c r="L39" s="70">
        <v>44628</v>
      </c>
    </row>
    <row r="40" spans="1:12" x14ac:dyDescent="0.2">
      <c r="A40" s="57" t="s">
        <v>59</v>
      </c>
      <c r="B40" s="57">
        <v>2352</v>
      </c>
      <c r="C40" s="57">
        <v>2</v>
      </c>
      <c r="D40" s="57">
        <v>1</v>
      </c>
      <c r="F40" s="57">
        <v>1.452</v>
      </c>
      <c r="G40" s="57">
        <v>0.90400000000000003</v>
      </c>
      <c r="H40" s="57">
        <v>0.50800000000000001</v>
      </c>
      <c r="I40" s="57">
        <v>0.29799999999999999</v>
      </c>
      <c r="J40" s="57">
        <v>13.53</v>
      </c>
      <c r="K40" s="33">
        <f>AVERAGE(1.88,1.97,1.9,1.91)</f>
        <v>1.915</v>
      </c>
      <c r="L40" s="70">
        <v>44628</v>
      </c>
    </row>
    <row r="41" spans="1:12" x14ac:dyDescent="0.2">
      <c r="A41" s="57" t="s">
        <v>59</v>
      </c>
      <c r="B41" s="57">
        <v>2345</v>
      </c>
      <c r="C41" s="57">
        <v>4</v>
      </c>
      <c r="D41" s="57">
        <v>1</v>
      </c>
      <c r="F41" s="57">
        <v>1.958</v>
      </c>
      <c r="G41" s="57">
        <v>1.07</v>
      </c>
      <c r="H41" s="57">
        <v>0.28799999999999998</v>
      </c>
      <c r="I41" s="57">
        <v>0.14399999999999999</v>
      </c>
      <c r="J41" s="57">
        <v>5.96</v>
      </c>
      <c r="K41" s="33">
        <f>AVERAGE(1.43,1.41,1.5,1.51)</f>
        <v>1.4624999999999999</v>
      </c>
      <c r="L41" s="70">
        <v>44628</v>
      </c>
    </row>
    <row r="42" spans="1:12" x14ac:dyDescent="0.2">
      <c r="A42" s="57" t="s">
        <v>59</v>
      </c>
      <c r="B42" s="57">
        <v>2352</v>
      </c>
      <c r="C42" s="57">
        <v>3</v>
      </c>
      <c r="D42" s="57">
        <v>1</v>
      </c>
      <c r="F42" s="57">
        <v>1.661</v>
      </c>
      <c r="G42" s="57">
        <v>1.08</v>
      </c>
      <c r="H42" s="57">
        <v>0.46300000000000002</v>
      </c>
      <c r="I42" s="57">
        <v>0.25700000000000001</v>
      </c>
      <c r="J42" s="57">
        <v>10.7</v>
      </c>
      <c r="K42" s="33">
        <f>AVERAGE(1.74,1.73,1.69,1.7)</f>
        <v>1.7150000000000001</v>
      </c>
      <c r="L42" s="70">
        <v>44628</v>
      </c>
    </row>
    <row r="43" spans="1:12" x14ac:dyDescent="0.2">
      <c r="A43" s="57" t="s">
        <v>159</v>
      </c>
      <c r="B43" s="57">
        <v>2005</v>
      </c>
      <c r="C43" s="57">
        <v>4</v>
      </c>
      <c r="D43" s="57">
        <v>0</v>
      </c>
      <c r="F43" s="57">
        <v>0.82799999999999996</v>
      </c>
      <c r="G43" s="57">
        <v>0.251</v>
      </c>
      <c r="H43" s="57">
        <v>0.10299999999999999</v>
      </c>
      <c r="I43" s="57">
        <v>2.9000000000000001E-2</v>
      </c>
      <c r="J43" s="57">
        <v>2.2599999999999998</v>
      </c>
      <c r="K43" s="57" t="s">
        <v>60</v>
      </c>
      <c r="L43" s="70">
        <v>44628</v>
      </c>
    </row>
    <row r="44" spans="1:12" x14ac:dyDescent="0.2">
      <c r="A44" s="57" t="s">
        <v>59</v>
      </c>
      <c r="B44" s="57">
        <v>2345</v>
      </c>
      <c r="C44" s="57">
        <v>3</v>
      </c>
      <c r="D44" s="57">
        <v>1</v>
      </c>
      <c r="F44" s="57">
        <v>1.903</v>
      </c>
      <c r="G44" s="57">
        <v>1.0680000000000001</v>
      </c>
      <c r="H44" s="57">
        <v>0.44600000000000001</v>
      </c>
      <c r="I44" s="57">
        <v>0.221</v>
      </c>
      <c r="J44" s="57">
        <v>6.18</v>
      </c>
      <c r="K44" s="33">
        <f>AVERAGE(1.6,1.63,1.78,2.03)</f>
        <v>1.7599999999999998</v>
      </c>
      <c r="L44" s="70">
        <v>44628</v>
      </c>
    </row>
    <row r="45" spans="1:12" x14ac:dyDescent="0.2">
      <c r="A45" s="57" t="s">
        <v>59</v>
      </c>
      <c r="B45" s="57">
        <v>2354</v>
      </c>
      <c r="C45" s="57">
        <v>3</v>
      </c>
      <c r="D45" s="57">
        <v>1</v>
      </c>
      <c r="F45" s="57">
        <v>1.619</v>
      </c>
      <c r="G45" s="57">
        <v>0.98199999999999998</v>
      </c>
      <c r="H45" s="57">
        <v>0.47199999999999998</v>
      </c>
      <c r="I45" s="57">
        <v>0.24399999999999999</v>
      </c>
      <c r="J45" s="57">
        <v>7.82</v>
      </c>
      <c r="K45" s="33">
        <f>AVERAGE(2.32,2.24,2.51,2.48)</f>
        <v>2.3875000000000002</v>
      </c>
      <c r="L45" s="70">
        <v>44628</v>
      </c>
    </row>
    <row r="46" spans="1:12" x14ac:dyDescent="0.2">
      <c r="A46" s="57" t="s">
        <v>59</v>
      </c>
      <c r="B46" s="57">
        <v>2331</v>
      </c>
      <c r="C46" s="57">
        <v>2</v>
      </c>
      <c r="D46" s="57">
        <v>1</v>
      </c>
      <c r="F46" s="57">
        <v>1.85</v>
      </c>
      <c r="G46" s="57">
        <v>1.0569999999999999</v>
      </c>
      <c r="H46" s="57">
        <v>0.38400000000000001</v>
      </c>
      <c r="I46" s="57">
        <v>0.193</v>
      </c>
      <c r="J46" s="57">
        <v>5.68</v>
      </c>
      <c r="K46" s="33">
        <f>AVERAGE(1.8,1.8,1.86,1.85)</f>
        <v>1.8275000000000001</v>
      </c>
      <c r="L46" s="70">
        <v>44628</v>
      </c>
    </row>
    <row r="47" spans="1:12" x14ac:dyDescent="0.2">
      <c r="A47" s="57" t="s">
        <v>59</v>
      </c>
      <c r="B47" s="57">
        <v>2377</v>
      </c>
      <c r="C47" s="57">
        <v>3</v>
      </c>
      <c r="D47" s="57">
        <v>1</v>
      </c>
      <c r="F47" s="57">
        <v>1.3959999999999999</v>
      </c>
      <c r="G47" s="57">
        <v>0.77</v>
      </c>
      <c r="H47" s="57">
        <v>0.39400000000000002</v>
      </c>
      <c r="I47" s="57">
        <v>0.17599999999999999</v>
      </c>
      <c r="J47" s="57">
        <v>7.43</v>
      </c>
      <c r="K47" s="33">
        <f>AVERAGE(2.05,1.98,1.98,2.02)</f>
        <v>2.0074999999999998</v>
      </c>
      <c r="L47" s="70">
        <v>44628</v>
      </c>
    </row>
    <row r="48" spans="1:12" x14ac:dyDescent="0.2">
      <c r="A48" s="57" t="s">
        <v>159</v>
      </c>
      <c r="B48" s="57">
        <v>2004</v>
      </c>
      <c r="C48" s="57">
        <v>2</v>
      </c>
      <c r="D48" s="57">
        <v>0</v>
      </c>
      <c r="F48" s="57">
        <v>0.23799999999999999</v>
      </c>
      <c r="G48" s="57">
        <v>4.4999999999999998E-2</v>
      </c>
      <c r="H48" s="57">
        <v>7.3999999999999996E-2</v>
      </c>
      <c r="I48" s="57">
        <v>1.2999999999999999E-2</v>
      </c>
      <c r="J48" s="57">
        <v>1.64</v>
      </c>
      <c r="K48" s="57" t="s">
        <v>60</v>
      </c>
      <c r="L48" s="70">
        <v>44628</v>
      </c>
    </row>
    <row r="49" spans="1:12" x14ac:dyDescent="0.2">
      <c r="A49" s="57" t="s">
        <v>59</v>
      </c>
      <c r="B49" s="57">
        <v>2377</v>
      </c>
      <c r="C49" s="57">
        <v>4</v>
      </c>
      <c r="D49" s="57">
        <v>1</v>
      </c>
      <c r="F49" s="57">
        <v>1.7969999999999999</v>
      </c>
      <c r="G49" s="57">
        <v>1.0009999999999999</v>
      </c>
      <c r="H49" s="57">
        <v>0.71899999999999997</v>
      </c>
      <c r="I49" s="57">
        <v>0.34</v>
      </c>
      <c r="J49" s="57">
        <v>8.7100000000000009</v>
      </c>
      <c r="K49" s="33">
        <f>AVERAGE(2.08,2.26,2.34,2.1)</f>
        <v>2.1949999999999998</v>
      </c>
      <c r="L49" s="70">
        <v>44628</v>
      </c>
    </row>
    <row r="50" spans="1:12" x14ac:dyDescent="0.2">
      <c r="A50" s="57" t="s">
        <v>59</v>
      </c>
      <c r="B50" s="57">
        <v>2301</v>
      </c>
      <c r="C50" s="57">
        <v>6</v>
      </c>
      <c r="D50" s="57">
        <v>1</v>
      </c>
      <c r="F50" s="57">
        <v>3.7839999999999998</v>
      </c>
      <c r="G50" s="57">
        <v>2.0310000000000001</v>
      </c>
      <c r="H50" s="57">
        <v>0.57199999999999995</v>
      </c>
      <c r="I50" s="57">
        <v>0.28299999999999997</v>
      </c>
      <c r="J50" s="57">
        <v>11.03</v>
      </c>
      <c r="K50" s="33">
        <f>AVERAGE(1.93,2.02,2.01,2.01)</f>
        <v>1.9924999999999999</v>
      </c>
      <c r="L50" s="70">
        <v>44628</v>
      </c>
    </row>
    <row r="51" spans="1:12" x14ac:dyDescent="0.2">
      <c r="A51" s="57" t="s">
        <v>159</v>
      </c>
      <c r="B51" s="57">
        <v>2006</v>
      </c>
      <c r="C51" s="57">
        <v>4</v>
      </c>
      <c r="D51" s="57">
        <v>0</v>
      </c>
      <c r="F51" s="57">
        <v>0.24399999999999999</v>
      </c>
      <c r="G51" s="57">
        <v>7.9000000000000001E-2</v>
      </c>
      <c r="H51" s="57">
        <v>4.2999999999999997E-2</v>
      </c>
      <c r="I51" s="57">
        <v>1.2E-2</v>
      </c>
      <c r="J51" s="57">
        <v>1.26</v>
      </c>
      <c r="K51" s="57" t="s">
        <v>60</v>
      </c>
      <c r="L51" s="70">
        <v>44628</v>
      </c>
    </row>
    <row r="52" spans="1:12" x14ac:dyDescent="0.2">
      <c r="A52" s="57" t="s">
        <v>59</v>
      </c>
      <c r="B52" s="57">
        <v>2331</v>
      </c>
      <c r="C52" s="57">
        <v>1</v>
      </c>
      <c r="D52" s="57">
        <v>1</v>
      </c>
      <c r="F52" s="57">
        <v>1.427</v>
      </c>
      <c r="G52" s="57">
        <v>0.84399999999999997</v>
      </c>
      <c r="H52" s="57">
        <v>0.67800000000000005</v>
      </c>
      <c r="I52" s="57">
        <v>0.36899999999999999</v>
      </c>
      <c r="J52" s="57">
        <v>10.76</v>
      </c>
      <c r="K52" s="33">
        <f>AVERAGE(2.15,2.21,2.19,1.99)</f>
        <v>2.1349999999999998</v>
      </c>
      <c r="L52" s="70">
        <v>44628</v>
      </c>
    </row>
    <row r="53" spans="1:12" x14ac:dyDescent="0.2">
      <c r="A53" s="57" t="s">
        <v>159</v>
      </c>
      <c r="B53" s="57">
        <v>2006</v>
      </c>
      <c r="C53" s="57">
        <v>2</v>
      </c>
      <c r="D53" s="57">
        <v>0</v>
      </c>
      <c r="F53" s="57">
        <v>0.26</v>
      </c>
      <c r="G53" s="57">
        <v>0.08</v>
      </c>
      <c r="H53" s="57">
        <v>2.1000000000000001E-2</v>
      </c>
      <c r="I53" s="57">
        <v>6.0000000000000001E-3</v>
      </c>
      <c r="J53" s="57">
        <v>0.63</v>
      </c>
      <c r="K53" s="57" t="s">
        <v>60</v>
      </c>
      <c r="L53" s="70">
        <v>44628</v>
      </c>
    </row>
    <row r="54" spans="1:12" x14ac:dyDescent="0.2">
      <c r="A54" s="57" t="s">
        <v>59</v>
      </c>
      <c r="B54" s="57">
        <v>2377</v>
      </c>
      <c r="C54" s="57">
        <v>2</v>
      </c>
      <c r="D54" s="57">
        <v>1</v>
      </c>
      <c r="F54" s="57">
        <v>1.137</v>
      </c>
      <c r="G54" s="57">
        <v>0.64100000000000001</v>
      </c>
      <c r="H54" s="57">
        <v>0.621</v>
      </c>
      <c r="I54" s="57">
        <v>0.29699999999999999</v>
      </c>
      <c r="J54" s="57">
        <v>9.18</v>
      </c>
      <c r="K54" s="33">
        <f>AVERAGE(2.26,2.39,2.3,2.29)</f>
        <v>2.31</v>
      </c>
      <c r="L54" s="70">
        <v>44628</v>
      </c>
    </row>
    <row r="55" spans="1:12" x14ac:dyDescent="0.2">
      <c r="A55" s="57" t="s">
        <v>59</v>
      </c>
      <c r="B55" s="57">
        <v>2380</v>
      </c>
      <c r="C55" s="57">
        <v>2</v>
      </c>
      <c r="D55" s="57">
        <v>1</v>
      </c>
      <c r="E55" s="57" t="s">
        <v>161</v>
      </c>
      <c r="F55" s="57">
        <v>1.5920000000000001</v>
      </c>
      <c r="G55" s="57">
        <v>0.97899999999999998</v>
      </c>
      <c r="H55" s="57">
        <v>0.224</v>
      </c>
      <c r="I55" s="57">
        <v>0.13</v>
      </c>
      <c r="J55" s="57">
        <v>4.0199999999999996</v>
      </c>
      <c r="K55" s="33">
        <f>AVERAGE(1.41,1.43,1.6,1.53)</f>
        <v>1.4924999999999999</v>
      </c>
      <c r="L55" s="70">
        <v>44628</v>
      </c>
    </row>
    <row r="56" spans="1:12" x14ac:dyDescent="0.2">
      <c r="A56" s="57" t="s">
        <v>59</v>
      </c>
      <c r="B56" s="57">
        <v>2301</v>
      </c>
      <c r="C56" s="57">
        <v>2</v>
      </c>
      <c r="D56" s="57">
        <v>1</v>
      </c>
      <c r="F56" s="57">
        <v>0.58799999999999997</v>
      </c>
      <c r="G56" s="57">
        <v>0.313</v>
      </c>
      <c r="H56" s="57">
        <v>0.997</v>
      </c>
      <c r="I56" s="57">
        <v>4.4999999999999998E-2</v>
      </c>
      <c r="J56" s="57">
        <v>2.65</v>
      </c>
      <c r="K56" s="33">
        <f>AVERAGE(1.21,1.09,1.07,1.22)</f>
        <v>1.1475</v>
      </c>
      <c r="L56" s="70">
        <v>44628</v>
      </c>
    </row>
    <row r="57" spans="1:12" x14ac:dyDescent="0.2">
      <c r="A57" s="57" t="s">
        <v>59</v>
      </c>
      <c r="B57" s="57">
        <v>2331</v>
      </c>
      <c r="C57" s="57">
        <v>3</v>
      </c>
      <c r="D57" s="57">
        <v>1</v>
      </c>
      <c r="F57" s="57">
        <v>1.147</v>
      </c>
      <c r="G57" s="57">
        <v>0.67900000000000005</v>
      </c>
      <c r="H57" s="57">
        <v>0.33</v>
      </c>
      <c r="I57" s="57">
        <v>0.16500000000000001</v>
      </c>
      <c r="J57" s="57">
        <v>6.48</v>
      </c>
      <c r="K57" s="33">
        <f>AVERAGE(1.71,1.68,1.7,1.75)</f>
        <v>1.71</v>
      </c>
      <c r="L57" s="70">
        <v>44628</v>
      </c>
    </row>
    <row r="58" spans="1:12" x14ac:dyDescent="0.2">
      <c r="A58" s="57" t="s">
        <v>59</v>
      </c>
      <c r="B58" s="57">
        <v>2377</v>
      </c>
      <c r="C58" s="57">
        <v>1</v>
      </c>
      <c r="D58" s="57">
        <v>1</v>
      </c>
      <c r="F58" s="57">
        <v>2.5590000000000002</v>
      </c>
      <c r="G58" s="57">
        <v>1.405</v>
      </c>
      <c r="H58" s="57">
        <v>0.63100000000000001</v>
      </c>
      <c r="I58" s="57">
        <v>0.317</v>
      </c>
      <c r="J58" s="57">
        <v>9.61</v>
      </c>
      <c r="K58" s="33">
        <f>AVERAGE(2.24,2.36,2.16,2.37)</f>
        <v>2.2824999999999998</v>
      </c>
      <c r="L58" s="70">
        <v>44628</v>
      </c>
    </row>
    <row r="59" spans="1:12" x14ac:dyDescent="0.2">
      <c r="A59" s="57" t="s">
        <v>59</v>
      </c>
      <c r="B59" s="57">
        <v>2377</v>
      </c>
      <c r="C59" s="57">
        <v>3</v>
      </c>
      <c r="D59" s="57">
        <v>1</v>
      </c>
      <c r="F59" s="57">
        <v>0.43</v>
      </c>
      <c r="G59" s="57">
        <v>0.253</v>
      </c>
      <c r="H59" s="57">
        <v>0.16600000000000001</v>
      </c>
      <c r="I59" s="57">
        <v>8.5999999999999993E-2</v>
      </c>
      <c r="J59" s="57">
        <v>4.26</v>
      </c>
      <c r="K59" s="33">
        <f>AVERAGE(1.31,1.51,1.36,1.31)</f>
        <v>1.3725000000000001</v>
      </c>
      <c r="L59" s="70">
        <v>44628</v>
      </c>
    </row>
    <row r="60" spans="1:12" x14ac:dyDescent="0.2">
      <c r="A60" s="57" t="s">
        <v>59</v>
      </c>
      <c r="B60" s="57">
        <v>2301</v>
      </c>
      <c r="C60" s="57">
        <v>4</v>
      </c>
      <c r="D60" s="57">
        <v>1</v>
      </c>
      <c r="F60" s="57">
        <v>2.097</v>
      </c>
      <c r="G60" s="57">
        <v>1.1639999999999999</v>
      </c>
      <c r="H60" s="57">
        <v>0.186</v>
      </c>
      <c r="I60" s="57">
        <v>9.0999999999999998E-2</v>
      </c>
      <c r="J60" s="57">
        <v>4.99</v>
      </c>
      <c r="K60" s="33">
        <f>AVERAGE(1.43,1.35,1.25,1.18)</f>
        <v>1.3025</v>
      </c>
      <c r="L60" s="70">
        <v>44628</v>
      </c>
    </row>
    <row r="61" spans="1:12" x14ac:dyDescent="0.2">
      <c r="A61" s="57" t="s">
        <v>159</v>
      </c>
      <c r="B61" s="57">
        <v>2004</v>
      </c>
      <c r="C61" s="57">
        <v>1</v>
      </c>
      <c r="D61" s="57">
        <v>0</v>
      </c>
      <c r="F61" s="57">
        <v>0.20499999999999999</v>
      </c>
      <c r="G61" s="57">
        <v>6.5000000000000002E-2</v>
      </c>
      <c r="H61" s="57">
        <v>3.5000000000000003E-2</v>
      </c>
      <c r="I61" s="57">
        <v>0.01</v>
      </c>
      <c r="J61" s="57">
        <v>1.47</v>
      </c>
      <c r="K61" s="57" t="s">
        <v>60</v>
      </c>
      <c r="L61" s="70">
        <v>44628</v>
      </c>
    </row>
    <row r="62" spans="1:12" x14ac:dyDescent="0.2">
      <c r="A62" s="57" t="s">
        <v>59</v>
      </c>
      <c r="B62" s="57">
        <v>2345</v>
      </c>
      <c r="C62" s="57">
        <v>5</v>
      </c>
      <c r="D62" s="57">
        <v>1</v>
      </c>
      <c r="F62" s="57">
        <v>1.742</v>
      </c>
      <c r="G62" s="57">
        <v>0.99299999999999999</v>
      </c>
      <c r="H62" s="57">
        <v>0.46200000000000002</v>
      </c>
      <c r="I62" s="57">
        <v>0.216</v>
      </c>
      <c r="J62" s="57">
        <v>7.98</v>
      </c>
      <c r="K62" s="33">
        <f>AVERAGE(1.62,1.93,1.87,1.53)</f>
        <v>1.7375</v>
      </c>
      <c r="L62" s="70">
        <v>44628</v>
      </c>
    </row>
    <row r="63" spans="1:12" x14ac:dyDescent="0.2">
      <c r="A63" s="57" t="s">
        <v>59</v>
      </c>
      <c r="B63" s="57">
        <v>2377</v>
      </c>
      <c r="C63" s="57">
        <v>5</v>
      </c>
      <c r="D63" s="57">
        <v>1</v>
      </c>
      <c r="F63" s="57">
        <v>0.73499999999999999</v>
      </c>
      <c r="G63" s="57">
        <v>0.40899999999999997</v>
      </c>
      <c r="H63" s="57">
        <v>0.17799999999999999</v>
      </c>
      <c r="I63" s="57">
        <v>8.8999999999999996E-2</v>
      </c>
      <c r="J63" s="57">
        <v>5.89</v>
      </c>
      <c r="K63" s="33">
        <f>AVERAGE(1.57,1.63,1.36,1.44)</f>
        <v>1.5</v>
      </c>
      <c r="L63" s="70">
        <v>44628</v>
      </c>
    </row>
    <row r="64" spans="1:12" x14ac:dyDescent="0.2">
      <c r="A64" s="57" t="s">
        <v>159</v>
      </c>
      <c r="B64" s="57">
        <v>2005</v>
      </c>
      <c r="C64" s="57">
        <v>2</v>
      </c>
      <c r="D64" s="57">
        <v>0</v>
      </c>
      <c r="F64" s="57">
        <v>1.385</v>
      </c>
      <c r="G64" s="57">
        <v>0.435</v>
      </c>
      <c r="H64" s="57">
        <v>0.14399999999999999</v>
      </c>
      <c r="I64" s="57">
        <v>4.2000000000000003E-2</v>
      </c>
      <c r="J64" s="57">
        <v>2.85</v>
      </c>
      <c r="K64" s="57" t="s">
        <v>60</v>
      </c>
      <c r="L64" s="70">
        <v>44628</v>
      </c>
    </row>
    <row r="65" spans="1:12" x14ac:dyDescent="0.2">
      <c r="A65" s="57" t="s">
        <v>59</v>
      </c>
      <c r="B65" s="57">
        <v>2376</v>
      </c>
      <c r="C65" s="57">
        <v>4</v>
      </c>
      <c r="D65" s="57">
        <v>1</v>
      </c>
      <c r="F65" s="57">
        <v>1.8420000000000001</v>
      </c>
      <c r="G65" s="57">
        <v>0.38800000000000001</v>
      </c>
      <c r="H65" s="57">
        <v>0.24</v>
      </c>
      <c r="I65" s="57">
        <v>2.7E-2</v>
      </c>
      <c r="J65" s="57">
        <v>1.41</v>
      </c>
      <c r="K65" s="33">
        <f>AVERAGE(1.16,1.13,1.14,1.18)</f>
        <v>1.1524999999999999</v>
      </c>
      <c r="L65" s="70">
        <v>44628</v>
      </c>
    </row>
    <row r="66" spans="1:12" x14ac:dyDescent="0.2">
      <c r="A66" s="57" t="s">
        <v>59</v>
      </c>
      <c r="B66" s="57">
        <v>2331</v>
      </c>
      <c r="C66" s="57">
        <v>5</v>
      </c>
      <c r="D66" s="57">
        <v>1</v>
      </c>
      <c r="F66" s="57">
        <v>1.105</v>
      </c>
      <c r="G66" s="57">
        <v>0.58399999999999996</v>
      </c>
      <c r="H66" s="57">
        <v>0.246</v>
      </c>
      <c r="I66" s="57">
        <v>0.125</v>
      </c>
      <c r="J66" s="57">
        <v>4.2300000000000004</v>
      </c>
      <c r="K66" s="33">
        <f>AVERAGE(1.44,1.55,1.66,1.48)</f>
        <v>1.5325000000000002</v>
      </c>
      <c r="L66" s="70">
        <v>44628</v>
      </c>
    </row>
    <row r="67" spans="1:12" x14ac:dyDescent="0.2">
      <c r="A67" s="57" t="s">
        <v>59</v>
      </c>
      <c r="B67" s="57">
        <v>2377</v>
      </c>
      <c r="C67" s="57">
        <v>4</v>
      </c>
      <c r="D67" s="57">
        <v>0</v>
      </c>
      <c r="E67" s="57" t="s">
        <v>161</v>
      </c>
      <c r="F67" s="57">
        <v>0.23200000000000001</v>
      </c>
      <c r="G67" s="57">
        <v>6.5000000000000002E-2</v>
      </c>
      <c r="H67" s="57">
        <v>3.2000000000000001E-2</v>
      </c>
      <c r="I67" s="57">
        <v>8.9999999999999993E-3</v>
      </c>
      <c r="J67" s="57">
        <v>2.2200000000000002</v>
      </c>
      <c r="K67" s="33">
        <f>AVERAGE(0.66,0.69,0.55,0.72)</f>
        <v>0.65500000000000003</v>
      </c>
      <c r="L67" s="70">
        <v>44628</v>
      </c>
    </row>
    <row r="68" spans="1:12" x14ac:dyDescent="0.2">
      <c r="A68" s="57" t="s">
        <v>59</v>
      </c>
      <c r="B68" s="57">
        <v>2301</v>
      </c>
      <c r="C68" s="57">
        <v>1</v>
      </c>
      <c r="D68" s="57">
        <v>1</v>
      </c>
      <c r="F68" s="57">
        <v>2.02</v>
      </c>
      <c r="G68" s="57">
        <v>1.133</v>
      </c>
      <c r="H68" s="57">
        <v>0.28499999999999998</v>
      </c>
      <c r="I68" s="57">
        <v>0.14299999999999999</v>
      </c>
      <c r="J68" s="57">
        <v>7.49</v>
      </c>
      <c r="K68" s="33">
        <f>AVERAGE(1.69,1.54,1.5,1.59)</f>
        <v>1.58</v>
      </c>
      <c r="L68" s="70">
        <v>44628</v>
      </c>
    </row>
    <row r="69" spans="1:12" x14ac:dyDescent="0.2">
      <c r="A69" s="57" t="s">
        <v>59</v>
      </c>
      <c r="B69" s="57">
        <v>2377</v>
      </c>
      <c r="C69" s="57">
        <v>4</v>
      </c>
      <c r="D69" s="57">
        <v>1</v>
      </c>
      <c r="E69" s="57" t="s">
        <v>160</v>
      </c>
      <c r="F69" s="57">
        <v>0.49099999999999999</v>
      </c>
      <c r="G69" s="57">
        <v>0.307</v>
      </c>
      <c r="H69" s="57">
        <v>6.0999999999999999E-2</v>
      </c>
      <c r="I69" s="57">
        <v>3.2000000000000001E-2</v>
      </c>
      <c r="J69" s="57">
        <v>1.95</v>
      </c>
      <c r="K69" s="33">
        <f>AVERAGE(1.48,1.5,1.48,1.53)</f>
        <v>1.4975000000000001</v>
      </c>
      <c r="L69" s="70">
        <v>44628</v>
      </c>
    </row>
    <row r="70" spans="1:12" x14ac:dyDescent="0.2">
      <c r="A70" s="57" t="s">
        <v>59</v>
      </c>
      <c r="B70" s="57">
        <v>2380</v>
      </c>
      <c r="C70" s="57">
        <v>1</v>
      </c>
      <c r="D70" s="57">
        <v>1</v>
      </c>
      <c r="E70" s="57" t="s">
        <v>161</v>
      </c>
      <c r="F70" s="57">
        <v>1.202</v>
      </c>
      <c r="G70" s="57">
        <v>0.73799999999999999</v>
      </c>
      <c r="H70" s="57">
        <v>0.45300000000000001</v>
      </c>
      <c r="I70" s="57">
        <v>0.25600000000000001</v>
      </c>
      <c r="J70" s="57">
        <v>6.86</v>
      </c>
      <c r="K70" s="33">
        <f>AVERAGE(1.9,1.81,1.7,2.1)</f>
        <v>1.8774999999999999</v>
      </c>
      <c r="L70" s="70">
        <v>44628</v>
      </c>
    </row>
    <row r="71" spans="1:12" x14ac:dyDescent="0.2">
      <c r="A71" s="57" t="s">
        <v>59</v>
      </c>
      <c r="B71" s="57">
        <v>2377</v>
      </c>
      <c r="C71" s="57">
        <v>2</v>
      </c>
      <c r="D71" s="57">
        <v>1</v>
      </c>
      <c r="F71" s="57">
        <v>8.5999999999999993E-2</v>
      </c>
      <c r="G71" s="57">
        <v>5.6000000000000001E-2</v>
      </c>
      <c r="H71" s="57">
        <v>0.13</v>
      </c>
      <c r="I71" s="57">
        <v>6.8000000000000005E-2</v>
      </c>
      <c r="J71" s="57">
        <v>2.65</v>
      </c>
      <c r="K71" s="33">
        <f>AVERAGE(2.49,2.5,2.51,2.51)</f>
        <v>2.5024999999999999</v>
      </c>
      <c r="L71" s="70">
        <v>44628</v>
      </c>
    </row>
    <row r="72" spans="1:12" x14ac:dyDescent="0.2">
      <c r="A72" s="57" t="s">
        <v>59</v>
      </c>
      <c r="B72" s="57">
        <v>2354</v>
      </c>
      <c r="C72" s="57">
        <v>2</v>
      </c>
      <c r="D72" s="57">
        <v>0</v>
      </c>
      <c r="F72" s="57">
        <v>0.40200000000000002</v>
      </c>
      <c r="G72" s="57">
        <v>0.111</v>
      </c>
      <c r="H72" s="57">
        <v>3.5000000000000003E-2</v>
      </c>
      <c r="I72" s="57">
        <v>0.01</v>
      </c>
      <c r="J72" s="57">
        <v>1.64</v>
      </c>
      <c r="K72" s="33">
        <f>AVERAGE(0.75,0.54,0.69,0.7)</f>
        <v>0.66999999999999993</v>
      </c>
      <c r="L72" s="70">
        <v>44628</v>
      </c>
    </row>
    <row r="73" spans="1:12" x14ac:dyDescent="0.2">
      <c r="A73" s="57" t="s">
        <v>159</v>
      </c>
      <c r="B73" s="57">
        <v>2006</v>
      </c>
      <c r="C73" s="57">
        <v>1</v>
      </c>
      <c r="D73" s="57">
        <v>0</v>
      </c>
      <c r="F73" s="57">
        <v>0.434</v>
      </c>
      <c r="G73" s="57">
        <v>0.13700000000000001</v>
      </c>
      <c r="H73" s="57">
        <v>2.5000000000000001E-2</v>
      </c>
      <c r="I73" s="57">
        <v>7.0000000000000001E-3</v>
      </c>
      <c r="J73" s="57">
        <v>0.68</v>
      </c>
      <c r="K73" s="57" t="s">
        <v>60</v>
      </c>
      <c r="L73" s="70">
        <v>44628</v>
      </c>
    </row>
    <row r="74" spans="1:12" x14ac:dyDescent="0.2">
      <c r="A74" s="57" t="s">
        <v>159</v>
      </c>
      <c r="B74" s="57">
        <v>2027</v>
      </c>
      <c r="C74" s="57">
        <v>1</v>
      </c>
      <c r="D74" s="57">
        <v>0</v>
      </c>
      <c r="F74" s="57">
        <v>0.751</v>
      </c>
      <c r="G74" s="57">
        <v>0.31</v>
      </c>
      <c r="H74" s="57">
        <v>3.6999999999999998E-2</v>
      </c>
      <c r="I74" s="57">
        <v>1.4E-2</v>
      </c>
      <c r="J74" s="57">
        <v>0.96</v>
      </c>
      <c r="K74" s="57" t="s">
        <v>60</v>
      </c>
      <c r="L74" s="70">
        <v>44635</v>
      </c>
    </row>
    <row r="75" spans="1:12" x14ac:dyDescent="0.2">
      <c r="A75" s="57" t="s">
        <v>59</v>
      </c>
      <c r="B75" s="57">
        <v>2089</v>
      </c>
      <c r="C75" s="57">
        <v>3</v>
      </c>
      <c r="D75" s="57">
        <v>1</v>
      </c>
      <c r="F75" s="57">
        <v>0.86</v>
      </c>
      <c r="G75" s="57">
        <v>0.52300000000000002</v>
      </c>
      <c r="H75" s="57">
        <v>0.20499999999999999</v>
      </c>
      <c r="I75" s="57">
        <v>0.115</v>
      </c>
      <c r="J75" s="57">
        <v>4.6500000000000004</v>
      </c>
      <c r="K75" s="33">
        <f>AVERAGE(1.27,1.37,1.02,1.23)</f>
        <v>1.2225000000000001</v>
      </c>
      <c r="L75" s="70">
        <v>44635</v>
      </c>
    </row>
    <row r="76" spans="1:12" x14ac:dyDescent="0.2">
      <c r="A76" s="57" t="s">
        <v>59</v>
      </c>
      <c r="B76" s="57">
        <v>2026</v>
      </c>
      <c r="C76" s="57">
        <v>3</v>
      </c>
      <c r="D76" s="57">
        <v>0</v>
      </c>
      <c r="F76" s="57">
        <v>0.68899999999999995</v>
      </c>
      <c r="G76" s="57">
        <v>0.33200000000000002</v>
      </c>
      <c r="H76" s="57">
        <v>0.104</v>
      </c>
      <c r="I76" s="57">
        <v>4.5999999999999999E-2</v>
      </c>
      <c r="J76" s="57">
        <v>2.5499999999999998</v>
      </c>
      <c r="K76" s="33">
        <f>AVERAGE(1.03,1.14,1.07,0.98)</f>
        <v>1.0550000000000002</v>
      </c>
      <c r="L76" s="70">
        <v>44635</v>
      </c>
    </row>
    <row r="77" spans="1:12" x14ac:dyDescent="0.2">
      <c r="A77" s="57" t="s">
        <v>59</v>
      </c>
      <c r="B77" s="57">
        <v>2303</v>
      </c>
      <c r="C77" s="57">
        <v>1</v>
      </c>
      <c r="D77" s="57">
        <v>0</v>
      </c>
      <c r="E77" s="57" t="s">
        <v>160</v>
      </c>
      <c r="F77" s="57">
        <v>1.798</v>
      </c>
      <c r="G77" s="57">
        <v>0.93899999999999995</v>
      </c>
      <c r="H77" s="57">
        <v>0.14599999999999999</v>
      </c>
      <c r="I77" s="57">
        <v>6.6000000000000003E-2</v>
      </c>
      <c r="J77" s="57">
        <v>4.03</v>
      </c>
      <c r="K77" s="33">
        <f>AVERAGE(1.25,1.22,1.16,1.24)</f>
        <v>1.2175</v>
      </c>
      <c r="L77" s="70">
        <v>44635</v>
      </c>
    </row>
    <row r="78" spans="1:12" x14ac:dyDescent="0.2">
      <c r="A78" s="57" t="s">
        <v>159</v>
      </c>
      <c r="B78" s="57">
        <v>2379</v>
      </c>
      <c r="C78" s="57">
        <v>1</v>
      </c>
      <c r="D78" s="57">
        <v>0</v>
      </c>
      <c r="F78" s="57">
        <v>0.56899999999999995</v>
      </c>
      <c r="G78" s="57">
        <v>0.26500000000000001</v>
      </c>
      <c r="H78" s="57">
        <v>2.1000000000000001E-2</v>
      </c>
      <c r="I78" s="57">
        <v>8.9999999999999993E-3</v>
      </c>
      <c r="J78" s="57">
        <v>0.83</v>
      </c>
      <c r="K78" s="57" t="s">
        <v>60</v>
      </c>
      <c r="L78" s="70">
        <v>44635</v>
      </c>
    </row>
    <row r="79" spans="1:12" x14ac:dyDescent="0.2">
      <c r="A79" s="57" t="s">
        <v>59</v>
      </c>
      <c r="B79" s="57">
        <v>2377</v>
      </c>
      <c r="C79" s="57">
        <v>3</v>
      </c>
      <c r="D79" s="57">
        <v>1</v>
      </c>
      <c r="F79" s="57">
        <v>0.77300000000000002</v>
      </c>
      <c r="G79" s="57">
        <v>0.47199999999999998</v>
      </c>
      <c r="H79" s="57">
        <v>0.11600000000000001</v>
      </c>
      <c r="I79" s="57">
        <v>6.4000000000000001E-2</v>
      </c>
      <c r="J79" s="57">
        <v>1.91</v>
      </c>
      <c r="K79" s="33">
        <f>AVERAGE(1.43,1.39,1.35,1.37)</f>
        <v>1.385</v>
      </c>
      <c r="L79" s="70">
        <v>44635</v>
      </c>
    </row>
    <row r="80" spans="1:12" x14ac:dyDescent="0.2">
      <c r="A80" s="57" t="s">
        <v>59</v>
      </c>
      <c r="B80" s="57">
        <v>2345</v>
      </c>
      <c r="C80" s="57">
        <v>2</v>
      </c>
      <c r="D80" s="57">
        <v>0</v>
      </c>
      <c r="E80" s="57" t="s">
        <v>161</v>
      </c>
      <c r="F80" s="57">
        <v>0.20799999999999999</v>
      </c>
      <c r="G80" s="57">
        <v>5.8000000000000003E-2</v>
      </c>
      <c r="H80" s="57">
        <v>1.9E-2</v>
      </c>
      <c r="I80" s="57">
        <v>7.0000000000000001E-3</v>
      </c>
      <c r="J80" s="57">
        <v>0.93</v>
      </c>
      <c r="K80" s="57" t="s">
        <v>60</v>
      </c>
      <c r="L80" s="70">
        <v>44635</v>
      </c>
    </row>
    <row r="81" spans="1:12" x14ac:dyDescent="0.2">
      <c r="A81" s="57" t="s">
        <v>59</v>
      </c>
      <c r="B81" s="57">
        <v>2091</v>
      </c>
      <c r="C81" s="57">
        <v>1</v>
      </c>
      <c r="D81" s="57">
        <v>1</v>
      </c>
      <c r="F81" s="57">
        <v>1.59</v>
      </c>
      <c r="G81" s="57">
        <v>0.95299999999999996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</v>
      </c>
    </row>
    <row r="82" spans="1:12" x14ac:dyDescent="0.2">
      <c r="A82" s="57" t="s">
        <v>59</v>
      </c>
      <c r="B82" s="57">
        <v>2345</v>
      </c>
      <c r="C82" s="57">
        <v>1</v>
      </c>
      <c r="D82" s="57">
        <v>0</v>
      </c>
      <c r="E82" s="57" t="s">
        <v>160</v>
      </c>
      <c r="F82" s="57">
        <v>0.14199999999999999</v>
      </c>
      <c r="G82" s="57">
        <v>3.6999999999999998E-2</v>
      </c>
      <c r="H82" s="57">
        <v>2.1000000000000001E-2</v>
      </c>
      <c r="I82" s="57">
        <v>5.0000000000000001E-3</v>
      </c>
      <c r="J82" s="57">
        <v>1.06</v>
      </c>
      <c r="K82" s="57" t="s">
        <v>60</v>
      </c>
      <c r="L82" s="70">
        <v>44635</v>
      </c>
    </row>
    <row r="83" spans="1:12" x14ac:dyDescent="0.2">
      <c r="A83" s="57" t="s">
        <v>59</v>
      </c>
      <c r="B83" s="57">
        <v>2022</v>
      </c>
      <c r="C83" s="57">
        <v>3</v>
      </c>
      <c r="D83" s="57">
        <v>1</v>
      </c>
      <c r="F83" s="57">
        <v>0.5</v>
      </c>
      <c r="G83" s="57">
        <v>0.29199999999999998</v>
      </c>
      <c r="H83" s="57">
        <v>0.14699999999999999</v>
      </c>
      <c r="I83" s="57">
        <v>7.1999999999999995E-2</v>
      </c>
      <c r="J83" s="57">
        <v>3.07</v>
      </c>
      <c r="K83" s="33">
        <f>AVERAGE(1.93,1.43,1.66,1.45)</f>
        <v>1.6174999999999999</v>
      </c>
      <c r="L83" s="70">
        <v>44635</v>
      </c>
    </row>
    <row r="84" spans="1:12" x14ac:dyDescent="0.2">
      <c r="A84" s="57" t="s">
        <v>59</v>
      </c>
      <c r="B84" s="57">
        <v>2380</v>
      </c>
      <c r="C84" s="57">
        <v>2</v>
      </c>
      <c r="D84" s="57">
        <v>1</v>
      </c>
      <c r="F84" s="57">
        <v>0.78300000000000003</v>
      </c>
      <c r="G84" s="57">
        <v>0.45300000000000001</v>
      </c>
      <c r="H84" s="57">
        <v>5.1999999999999998E-2</v>
      </c>
      <c r="I84" s="57">
        <v>2.8000000000000001E-2</v>
      </c>
      <c r="J84" s="57">
        <v>1.59</v>
      </c>
      <c r="K84" s="33">
        <f>AVERAGE(1.27,1.37,1.21,1.37)</f>
        <v>1.3050000000000002</v>
      </c>
      <c r="L84" s="70">
        <v>44635</v>
      </c>
    </row>
    <row r="85" spans="1:12" x14ac:dyDescent="0.2">
      <c r="A85" s="57" t="s">
        <v>159</v>
      </c>
      <c r="B85" s="57">
        <v>2006</v>
      </c>
      <c r="C85" s="57">
        <v>1</v>
      </c>
      <c r="D85" s="57">
        <v>0</v>
      </c>
      <c r="F85" s="57">
        <v>0.45900000000000002</v>
      </c>
      <c r="G85" s="57">
        <v>0.16500000000000001</v>
      </c>
      <c r="H85" s="57">
        <v>4.2000000000000003E-2</v>
      </c>
      <c r="I85" s="57">
        <v>1.4999999999999999E-2</v>
      </c>
      <c r="J85" s="57">
        <v>1.3</v>
      </c>
      <c r="K85" s="33">
        <f>AVERAGE(0.82,0.94,0.82,0.78)</f>
        <v>0.83999999999999986</v>
      </c>
      <c r="L85" s="70">
        <v>44635</v>
      </c>
    </row>
    <row r="86" spans="1:12" x14ac:dyDescent="0.2">
      <c r="A86" s="57" t="s">
        <v>59</v>
      </c>
      <c r="B86" s="57">
        <v>2023</v>
      </c>
      <c r="C86" s="57">
        <v>4</v>
      </c>
      <c r="D86" s="57">
        <v>0</v>
      </c>
      <c r="E86" s="57" t="s">
        <v>161</v>
      </c>
      <c r="F86" s="57">
        <v>0.76100000000000001</v>
      </c>
      <c r="G86" s="57">
        <v>0.371</v>
      </c>
      <c r="H86" s="57">
        <v>0.14099999999999999</v>
      </c>
      <c r="I86" s="57">
        <v>5.8000000000000003E-2</v>
      </c>
      <c r="J86" s="57">
        <v>2.88</v>
      </c>
      <c r="K86" s="33">
        <f>AVERAGE(1.03,1.02,0.99,1.13)</f>
        <v>1.0425</v>
      </c>
      <c r="L86" s="70">
        <v>44635</v>
      </c>
    </row>
    <row r="87" spans="1:12" x14ac:dyDescent="0.2">
      <c r="A87" s="57" t="s">
        <v>59</v>
      </c>
      <c r="B87" s="57">
        <v>2091</v>
      </c>
      <c r="C87" s="57">
        <v>2</v>
      </c>
      <c r="D87" s="57">
        <v>1</v>
      </c>
      <c r="F87" s="57">
        <v>0.98399999999999999</v>
      </c>
      <c r="G87" s="57">
        <v>0.60899999999999999</v>
      </c>
      <c r="H87" s="57">
        <v>0.222</v>
      </c>
      <c r="I87" s="57">
        <v>0.13200000000000001</v>
      </c>
      <c r="J87" s="57">
        <v>3.66</v>
      </c>
      <c r="K87" s="33">
        <f>AVERAGE(1.53,1.54,1.57,1.56)</f>
        <v>1.5500000000000003</v>
      </c>
      <c r="L87" s="70">
        <v>44635</v>
      </c>
    </row>
    <row r="88" spans="1:12" x14ac:dyDescent="0.2">
      <c r="A88" s="57" t="s">
        <v>59</v>
      </c>
      <c r="B88" s="57">
        <v>2023</v>
      </c>
      <c r="C88" s="57">
        <v>4</v>
      </c>
      <c r="D88" s="57">
        <v>1</v>
      </c>
      <c r="F88" s="57">
        <v>0.193</v>
      </c>
      <c r="G88" s="57">
        <v>0.11600000000000001</v>
      </c>
      <c r="H88" s="57">
        <v>8.5000000000000006E-2</v>
      </c>
      <c r="I88" s="57">
        <v>4.3999999999999997E-2</v>
      </c>
      <c r="J88" s="57">
        <v>1.68</v>
      </c>
      <c r="K88" s="33">
        <f>AVERAGE(1.48,1.53,1.63,1.45)</f>
        <v>1.5225</v>
      </c>
      <c r="L88" s="70">
        <v>44635</v>
      </c>
    </row>
    <row r="89" spans="1:12" x14ac:dyDescent="0.2">
      <c r="A89" s="57" t="s">
        <v>59</v>
      </c>
      <c r="B89" s="57">
        <v>2022</v>
      </c>
      <c r="C89" s="57">
        <v>1</v>
      </c>
      <c r="D89" s="57">
        <v>1</v>
      </c>
      <c r="F89" s="57">
        <v>1.0509999999999999</v>
      </c>
      <c r="G89" s="57">
        <v>0.625</v>
      </c>
      <c r="H89" s="57">
        <v>0.129</v>
      </c>
      <c r="I89" s="57">
        <v>7.0000000000000007E-2</v>
      </c>
      <c r="J89" s="57">
        <v>2.82</v>
      </c>
      <c r="K89" s="33">
        <f>AVERAGE(1.39,1.57,1.66,1.49)</f>
        <v>1.5275000000000001</v>
      </c>
      <c r="L89" s="70">
        <v>44635</v>
      </c>
    </row>
    <row r="90" spans="1:12" x14ac:dyDescent="0.2">
      <c r="A90" s="57" t="s">
        <v>159</v>
      </c>
      <c r="B90" s="57">
        <v>2020</v>
      </c>
      <c r="C90" s="57">
        <v>1</v>
      </c>
      <c r="D90" s="57">
        <v>0</v>
      </c>
      <c r="F90" s="57">
        <v>0.55700000000000005</v>
      </c>
      <c r="G90" s="57">
        <v>0.22700000000000001</v>
      </c>
      <c r="H90" s="57">
        <v>4.8000000000000001E-2</v>
      </c>
      <c r="I90" s="57">
        <v>1.7999999999999999E-2</v>
      </c>
      <c r="J90" s="57">
        <v>1.92</v>
      </c>
      <c r="K90" s="33">
        <f>AVERAGE(0.82,0.85,0.87,0.82)</f>
        <v>0.84</v>
      </c>
      <c r="L90" s="70">
        <v>44635</v>
      </c>
    </row>
    <row r="91" spans="1:12" x14ac:dyDescent="0.2">
      <c r="A91" s="57" t="s">
        <v>59</v>
      </c>
      <c r="B91" s="57">
        <v>2023</v>
      </c>
      <c r="C91" s="57">
        <v>2</v>
      </c>
      <c r="D91" s="57">
        <v>1</v>
      </c>
      <c r="E91" s="57" t="s">
        <v>161</v>
      </c>
      <c r="F91" s="57">
        <v>0.13</v>
      </c>
      <c r="G91" s="57">
        <v>0.08</v>
      </c>
      <c r="H91" s="57">
        <v>5.8999999999999997E-2</v>
      </c>
      <c r="I91" s="57">
        <v>3.1E-2</v>
      </c>
      <c r="J91" s="57">
        <v>1.46</v>
      </c>
      <c r="K91" s="33">
        <f>AVERAGE(1.22,1.13,1.15,1.21)</f>
        <v>1.1774999999999998</v>
      </c>
      <c r="L91" s="70">
        <v>44635</v>
      </c>
    </row>
    <row r="92" spans="1:12" x14ac:dyDescent="0.2">
      <c r="A92" s="57" t="s">
        <v>159</v>
      </c>
      <c r="B92" s="57">
        <v>2382</v>
      </c>
      <c r="C92" s="57">
        <v>2</v>
      </c>
      <c r="D92" s="57">
        <v>0</v>
      </c>
      <c r="F92" s="57">
        <v>0.91400000000000003</v>
      </c>
      <c r="G92" s="57">
        <v>0.38800000000000001</v>
      </c>
      <c r="H92" s="57">
        <v>8.2000000000000003E-2</v>
      </c>
      <c r="I92" s="57">
        <v>3.2000000000000001E-2</v>
      </c>
      <c r="J92" s="57">
        <v>2.57</v>
      </c>
      <c r="K92" s="33">
        <f>AVERAGE(1.11,1.06,1.04,1.03)</f>
        <v>1.06</v>
      </c>
      <c r="L92" s="70">
        <v>44635</v>
      </c>
    </row>
    <row r="93" spans="1:12" x14ac:dyDescent="0.2">
      <c r="A93" s="57" t="s">
        <v>59</v>
      </c>
      <c r="B93" s="57">
        <v>2352</v>
      </c>
      <c r="C93" s="57">
        <v>3</v>
      </c>
      <c r="D93" s="57">
        <v>0</v>
      </c>
      <c r="F93" s="57">
        <v>8.5000000000000006E-2</v>
      </c>
      <c r="G93" s="57">
        <v>3.1E-2</v>
      </c>
      <c r="H93" s="57">
        <v>1.2E-2</v>
      </c>
      <c r="I93" s="57">
        <v>4.0000000000000001E-3</v>
      </c>
      <c r="J93" s="57">
        <v>0.99</v>
      </c>
      <c r="K93" s="57" t="s">
        <v>60</v>
      </c>
      <c r="L93" s="70">
        <v>44635</v>
      </c>
    </row>
    <row r="94" spans="1:12" x14ac:dyDescent="0.2">
      <c r="A94" s="57" t="s">
        <v>59</v>
      </c>
      <c r="B94" s="57">
        <v>2023</v>
      </c>
      <c r="C94" s="57">
        <v>2</v>
      </c>
      <c r="D94" s="57">
        <v>0</v>
      </c>
      <c r="E94" s="57" t="s">
        <v>160</v>
      </c>
      <c r="F94" s="57">
        <v>0.46200000000000002</v>
      </c>
      <c r="G94" s="57">
        <v>0.23799999999999999</v>
      </c>
      <c r="H94" s="57">
        <v>1.2999999999999999E-2</v>
      </c>
      <c r="I94" s="57">
        <v>6.0000000000000001E-3</v>
      </c>
      <c r="J94" s="57">
        <v>0.62</v>
      </c>
      <c r="K94" s="33">
        <f>AVERAGE(1.67,1.35,1.1,1.35)</f>
        <v>1.3675000000000002</v>
      </c>
      <c r="L94" s="70">
        <v>44635</v>
      </c>
    </row>
    <row r="95" spans="1:12" x14ac:dyDescent="0.2">
      <c r="A95" s="57" t="s">
        <v>159</v>
      </c>
      <c r="B95" s="57">
        <v>2025</v>
      </c>
      <c r="C95" s="57">
        <v>3</v>
      </c>
      <c r="D95" s="57">
        <v>0</v>
      </c>
      <c r="F95" s="57">
        <v>0.41499999999999998</v>
      </c>
      <c r="G95" s="57">
        <v>0.20499999999999999</v>
      </c>
      <c r="H95" s="57">
        <v>5.1999999999999998E-2</v>
      </c>
      <c r="I95" s="57">
        <v>2.4E-2</v>
      </c>
      <c r="J95" s="57">
        <v>2.15</v>
      </c>
      <c r="K95" s="33">
        <f>AVERAGE(1.07,1.02,1.06,0.98)</f>
        <v>1.0325</v>
      </c>
      <c r="L95" s="70">
        <v>44635</v>
      </c>
    </row>
    <row r="96" spans="1:12" x14ac:dyDescent="0.2">
      <c r="A96" s="57" t="s">
        <v>159</v>
      </c>
      <c r="B96" s="57">
        <v>2378</v>
      </c>
      <c r="C96" s="57">
        <v>2</v>
      </c>
      <c r="D96" s="57">
        <v>0</v>
      </c>
      <c r="F96" s="57">
        <v>1.5229999999999999</v>
      </c>
      <c r="G96" s="57">
        <v>0.65700000000000003</v>
      </c>
      <c r="H96" s="57">
        <v>0.28799999999999998</v>
      </c>
      <c r="I96" s="57">
        <v>0.113</v>
      </c>
      <c r="J96" s="57">
        <v>4.6500000000000004</v>
      </c>
      <c r="K96" s="33">
        <f>AVERAGE(1.44,1.38,1.71,1.59)</f>
        <v>1.5299999999999998</v>
      </c>
      <c r="L96" s="70">
        <v>44635</v>
      </c>
    </row>
    <row r="97" spans="1:12" x14ac:dyDescent="0.2">
      <c r="A97" s="57" t="s">
        <v>59</v>
      </c>
      <c r="B97" s="57">
        <v>2380</v>
      </c>
      <c r="C97" s="57">
        <v>1</v>
      </c>
      <c r="D97" s="57">
        <v>1</v>
      </c>
      <c r="F97" s="57">
        <v>0.92300000000000004</v>
      </c>
      <c r="G97" s="57">
        <v>0.51400000000000001</v>
      </c>
      <c r="H97" s="57">
        <v>0.13200000000000001</v>
      </c>
      <c r="I97" s="57">
        <v>6.7000000000000004E-2</v>
      </c>
      <c r="J97" s="57">
        <v>2.77</v>
      </c>
      <c r="K97" s="33">
        <f>AVERAGE(1.32,1.39,1.26,1.38)</f>
        <v>1.3374999999999999</v>
      </c>
      <c r="L97" s="70">
        <v>44635</v>
      </c>
    </row>
    <row r="98" spans="1:12" x14ac:dyDescent="0.2">
      <c r="A98" s="57" t="s">
        <v>59</v>
      </c>
      <c r="B98" s="57">
        <v>2301</v>
      </c>
      <c r="C98" s="57">
        <v>1</v>
      </c>
      <c r="D98" s="57">
        <v>1</v>
      </c>
      <c r="F98" s="57">
        <v>3.2090000000000001</v>
      </c>
      <c r="G98" s="57">
        <v>1.8049999999999999</v>
      </c>
      <c r="H98" s="57">
        <v>0.41199999999999998</v>
      </c>
      <c r="I98" s="57">
        <v>0.223</v>
      </c>
      <c r="J98" s="57">
        <v>8.52</v>
      </c>
      <c r="K98" s="33">
        <f>AVERAGE(1.73,1.67,1.66,1.74)</f>
        <v>1.7</v>
      </c>
      <c r="L98" s="70">
        <v>44635</v>
      </c>
    </row>
    <row r="99" spans="1:12" x14ac:dyDescent="0.2">
      <c r="A99" s="57" t="s">
        <v>59</v>
      </c>
      <c r="B99" s="57">
        <v>2303</v>
      </c>
      <c r="C99" s="57">
        <v>1</v>
      </c>
      <c r="D99" s="57">
        <v>1</v>
      </c>
      <c r="F99" s="57">
        <v>1.2270000000000001</v>
      </c>
      <c r="G99" s="57">
        <v>0.74399999999999999</v>
      </c>
      <c r="H99" s="57">
        <v>0.16200000000000001</v>
      </c>
      <c r="I99" s="57">
        <v>8.2000000000000003E-2</v>
      </c>
      <c r="J99" s="57">
        <v>1.96</v>
      </c>
      <c r="K99" s="33">
        <f>AVERAGE(0.89,2.02,2.14,2.08)</f>
        <v>1.7825000000000002</v>
      </c>
      <c r="L99" s="70">
        <v>44635</v>
      </c>
    </row>
    <row r="100" spans="1:12" x14ac:dyDescent="0.2">
      <c r="A100" s="57" t="s">
        <v>159</v>
      </c>
      <c r="B100" s="57">
        <v>2020</v>
      </c>
      <c r="C100" s="57">
        <v>2</v>
      </c>
      <c r="D100" s="57">
        <v>0</v>
      </c>
      <c r="F100" s="57">
        <v>0.48899999999999999</v>
      </c>
      <c r="G100" s="57">
        <v>0.21299999999999999</v>
      </c>
      <c r="H100" s="57">
        <v>3.9E-2</v>
      </c>
      <c r="I100" s="57">
        <v>1.4999999999999999E-2</v>
      </c>
      <c r="J100" s="57">
        <v>1.26</v>
      </c>
      <c r="K100" s="33">
        <f>AVERAGE(0.94,0.84,0.77,0.86)</f>
        <v>0.85249999999999992</v>
      </c>
      <c r="L100" s="70">
        <v>44635</v>
      </c>
    </row>
    <row r="101" spans="1:12" x14ac:dyDescent="0.2">
      <c r="A101" s="57" t="s">
        <v>59</v>
      </c>
      <c r="B101" s="57">
        <v>2352</v>
      </c>
      <c r="C101" s="57">
        <v>1</v>
      </c>
      <c r="D101" s="57">
        <v>0</v>
      </c>
      <c r="F101" s="57">
        <v>0.61399999999999999</v>
      </c>
      <c r="G101" s="57">
        <v>0.34699999999999998</v>
      </c>
      <c r="H101" s="57">
        <v>7.0000000000000007E-2</v>
      </c>
      <c r="I101" s="57">
        <v>3.4000000000000002E-2</v>
      </c>
      <c r="J101" s="57">
        <v>2.33</v>
      </c>
      <c r="K101" s="33">
        <f>AVERAGE(1.11,1.01,0.99,0.94)</f>
        <v>1.0125000000000002</v>
      </c>
      <c r="L101" s="70">
        <v>44635</v>
      </c>
    </row>
    <row r="102" spans="1:12" x14ac:dyDescent="0.2">
      <c r="A102" s="57" t="s">
        <v>159</v>
      </c>
      <c r="B102" s="57">
        <v>2007</v>
      </c>
      <c r="C102" s="57">
        <v>1</v>
      </c>
      <c r="D102" s="57">
        <v>0</v>
      </c>
      <c r="F102" s="57">
        <v>0.52300000000000002</v>
      </c>
      <c r="G102" s="57">
        <v>0.23499999999999999</v>
      </c>
      <c r="H102" s="57">
        <v>4.3999999999999997E-2</v>
      </c>
      <c r="I102" s="57">
        <v>1.7000000000000001E-2</v>
      </c>
      <c r="J102" s="57">
        <v>1.98</v>
      </c>
      <c r="K102" s="33">
        <f>AVERAGE(0.75,0.65,0.66,0.77)</f>
        <v>0.70750000000000002</v>
      </c>
      <c r="L102" s="70">
        <v>44635</v>
      </c>
    </row>
    <row r="103" spans="1:12" x14ac:dyDescent="0.2">
      <c r="A103" s="57" t="s">
        <v>59</v>
      </c>
      <c r="B103" s="57">
        <v>2089</v>
      </c>
      <c r="C103" s="57">
        <v>2</v>
      </c>
      <c r="D103" s="57">
        <v>0</v>
      </c>
      <c r="E103" s="57" t="s">
        <v>160</v>
      </c>
      <c r="F103" s="57">
        <v>0.27800000000000002</v>
      </c>
      <c r="G103" s="57">
        <v>0.156</v>
      </c>
      <c r="H103" s="57">
        <v>3.5000000000000003E-2</v>
      </c>
      <c r="I103" s="57">
        <v>0.02</v>
      </c>
      <c r="J103" s="57">
        <v>2.0099999999999998</v>
      </c>
      <c r="K103" s="33">
        <f>AVERAGE(0.9,0.75,0.8,0.83)</f>
        <v>0.82000000000000006</v>
      </c>
      <c r="L103" s="70">
        <v>44635</v>
      </c>
    </row>
    <row r="104" spans="1:12" x14ac:dyDescent="0.2">
      <c r="A104" s="57" t="s">
        <v>59</v>
      </c>
      <c r="B104" s="57">
        <v>2091</v>
      </c>
      <c r="C104" s="57">
        <v>3</v>
      </c>
      <c r="D104" s="57">
        <v>1</v>
      </c>
      <c r="F104" s="57">
        <v>1.1659999999999999</v>
      </c>
      <c r="G104" s="57">
        <v>0.71399999999999997</v>
      </c>
      <c r="H104" s="57">
        <v>0.16400000000000001</v>
      </c>
      <c r="I104" s="57">
        <v>9.5000000000000001E-2</v>
      </c>
      <c r="J104" s="57">
        <v>3.39</v>
      </c>
      <c r="K104" s="33">
        <f>AVERAGE(1.59,1.58,1.49,1.56)</f>
        <v>1.5550000000000002</v>
      </c>
      <c r="L104" s="70">
        <v>44635</v>
      </c>
    </row>
    <row r="105" spans="1:12" x14ac:dyDescent="0.2">
      <c r="A105" s="57" t="s">
        <v>59</v>
      </c>
      <c r="B105" s="57">
        <v>2026</v>
      </c>
      <c r="C105" s="57">
        <v>1</v>
      </c>
      <c r="D105" s="57">
        <v>0</v>
      </c>
      <c r="F105" s="57">
        <v>0.53800000000000003</v>
      </c>
      <c r="G105" s="57">
        <v>0.26300000000000001</v>
      </c>
      <c r="H105" s="57">
        <v>9.7000000000000003E-2</v>
      </c>
      <c r="I105" s="57">
        <v>2.5999999999999999E-2</v>
      </c>
      <c r="J105" s="57">
        <v>1.93</v>
      </c>
      <c r="K105" s="33">
        <f>AVERAGE(0.8,0.75,0.78,0.78)</f>
        <v>0.77750000000000008</v>
      </c>
      <c r="L105" s="70">
        <v>44635</v>
      </c>
    </row>
    <row r="106" spans="1:12" x14ac:dyDescent="0.2">
      <c r="A106" s="57" t="s">
        <v>159</v>
      </c>
      <c r="B106" s="57">
        <v>2005</v>
      </c>
      <c r="C106" s="57">
        <v>1</v>
      </c>
      <c r="D106" s="57">
        <v>0</v>
      </c>
      <c r="F106" s="57">
        <v>1.97</v>
      </c>
      <c r="G106" s="57">
        <v>0.81899999999999995</v>
      </c>
      <c r="H106" s="57">
        <v>0.19400000000000001</v>
      </c>
      <c r="I106" s="57">
        <v>7.3999999999999996E-2</v>
      </c>
      <c r="J106" s="57">
        <v>2.93</v>
      </c>
      <c r="K106" s="33">
        <f>AVERAGE(1.54,1.41,1.41,1.62)</f>
        <v>1.4950000000000001</v>
      </c>
      <c r="L106" s="70">
        <v>44635</v>
      </c>
    </row>
    <row r="107" spans="1:12" x14ac:dyDescent="0.2">
      <c r="A107" s="57" t="s">
        <v>59</v>
      </c>
      <c r="B107" s="57">
        <v>2331</v>
      </c>
      <c r="C107" s="57">
        <v>2</v>
      </c>
      <c r="D107" s="57">
        <v>0</v>
      </c>
      <c r="F107" s="57">
        <v>0.25700000000000001</v>
      </c>
      <c r="G107" s="57">
        <v>7.8E-2</v>
      </c>
      <c r="H107" s="57">
        <v>2.5999999999999999E-2</v>
      </c>
      <c r="I107" s="57">
        <v>8.9999999999999993E-3</v>
      </c>
      <c r="J107" s="57">
        <v>1.22</v>
      </c>
      <c r="K107" s="57" t="s">
        <v>60</v>
      </c>
      <c r="L107" s="70">
        <v>44635</v>
      </c>
    </row>
    <row r="108" spans="1:12" x14ac:dyDescent="0.2">
      <c r="A108" s="57" t="s">
        <v>59</v>
      </c>
      <c r="B108" s="57">
        <v>2352</v>
      </c>
      <c r="C108" s="57">
        <v>3</v>
      </c>
      <c r="D108" s="57">
        <v>1</v>
      </c>
      <c r="F108" s="57">
        <v>0.19400000000000001</v>
      </c>
      <c r="G108" s="57">
        <v>0.11700000000000001</v>
      </c>
      <c r="H108" s="57">
        <v>3.6999999999999998E-2</v>
      </c>
      <c r="I108" s="57">
        <v>0.02</v>
      </c>
      <c r="J108" s="57">
        <v>1.92</v>
      </c>
      <c r="K108" s="33">
        <f>AVERAGE(1.01,0.97,0.75,0.86)</f>
        <v>0.89749999999999996</v>
      </c>
      <c r="L108" s="70">
        <v>44635</v>
      </c>
    </row>
    <row r="109" spans="1:12" x14ac:dyDescent="0.2">
      <c r="A109" s="57" t="s">
        <v>159</v>
      </c>
      <c r="B109" s="57">
        <v>2020</v>
      </c>
      <c r="C109" s="57">
        <v>3</v>
      </c>
      <c r="D109" s="57">
        <v>0</v>
      </c>
      <c r="F109" s="57">
        <v>0.47699999999999998</v>
      </c>
      <c r="G109" s="57">
        <v>0.216</v>
      </c>
      <c r="H109" s="57">
        <v>3.1E-2</v>
      </c>
      <c r="I109" s="57">
        <v>1.2E-2</v>
      </c>
      <c r="J109" s="57">
        <v>1.2</v>
      </c>
      <c r="K109" s="33">
        <f>AVERAGE(0.81,0.77,0.84,0.99)</f>
        <v>0.85250000000000004</v>
      </c>
      <c r="L109" s="70">
        <v>44635</v>
      </c>
    </row>
    <row r="110" spans="1:12" x14ac:dyDescent="0.2">
      <c r="A110" s="57" t="s">
        <v>59</v>
      </c>
      <c r="B110" s="57">
        <v>2023</v>
      </c>
      <c r="C110" s="57">
        <v>3</v>
      </c>
      <c r="D110" s="57">
        <v>1</v>
      </c>
      <c r="F110" s="57">
        <v>1.359</v>
      </c>
      <c r="G110" s="57">
        <v>0.82599999999999996</v>
      </c>
      <c r="H110" s="57">
        <v>0.24099999999999999</v>
      </c>
      <c r="I110" s="57">
        <v>0.127</v>
      </c>
      <c r="J110" s="57">
        <v>4.62</v>
      </c>
      <c r="K110" s="33">
        <f>AVERAGE(1.8,1.53,1.67,1.74)</f>
        <v>1.6850000000000001</v>
      </c>
      <c r="L110" s="70">
        <v>44635</v>
      </c>
    </row>
    <row r="111" spans="1:12" x14ac:dyDescent="0.2">
      <c r="A111" s="57" t="s">
        <v>159</v>
      </c>
      <c r="B111" s="57">
        <v>2379</v>
      </c>
      <c r="C111" s="57">
        <v>3</v>
      </c>
      <c r="D111" s="57">
        <v>0</v>
      </c>
      <c r="F111" s="57">
        <v>0.503</v>
      </c>
      <c r="G111" s="57">
        <v>0.224</v>
      </c>
      <c r="H111" s="57">
        <v>4.1000000000000002E-2</v>
      </c>
      <c r="I111" s="57">
        <v>1.7000000000000001E-2</v>
      </c>
      <c r="J111" s="57">
        <v>0.75</v>
      </c>
      <c r="K111" s="57" t="s">
        <v>60</v>
      </c>
      <c r="L111" s="70">
        <v>44635</v>
      </c>
    </row>
    <row r="112" spans="1:12" x14ac:dyDescent="0.2">
      <c r="A112" s="57" t="s">
        <v>59</v>
      </c>
      <c r="B112" s="57">
        <v>2093</v>
      </c>
      <c r="C112" s="57">
        <v>2</v>
      </c>
      <c r="D112" s="57">
        <v>1</v>
      </c>
      <c r="F112" s="57">
        <v>1.881</v>
      </c>
      <c r="G112" s="57">
        <v>0.124</v>
      </c>
      <c r="H112" s="57">
        <v>4.2999999999999997E-2</v>
      </c>
      <c r="I112" s="57">
        <v>0.104</v>
      </c>
      <c r="J112" s="57">
        <v>2.69</v>
      </c>
      <c r="K112" s="33">
        <f>AVERAGE(1.64,1.63,1.64,1.61)</f>
        <v>1.63</v>
      </c>
      <c r="L112" s="70">
        <v>44635</v>
      </c>
    </row>
    <row r="113" spans="1:12" x14ac:dyDescent="0.2">
      <c r="A113" s="57" t="s">
        <v>159</v>
      </c>
      <c r="B113" s="57">
        <v>2378</v>
      </c>
      <c r="C113" s="57">
        <v>1</v>
      </c>
      <c r="D113" s="57">
        <v>0</v>
      </c>
      <c r="F113" s="57">
        <v>0.61499999999999999</v>
      </c>
      <c r="G113" s="57">
        <v>0.27900000000000003</v>
      </c>
      <c r="H113" s="57">
        <v>0.124</v>
      </c>
      <c r="I113" s="57">
        <v>0.05</v>
      </c>
      <c r="J113" s="57">
        <v>2.75</v>
      </c>
      <c r="K113" s="33">
        <f>AVERAGE(1.05,1.09,0.95,0.97)</f>
        <v>1.0149999999999999</v>
      </c>
      <c r="L113" s="70">
        <v>44635</v>
      </c>
    </row>
    <row r="114" spans="1:12" x14ac:dyDescent="0.2">
      <c r="A114" s="57" t="s">
        <v>159</v>
      </c>
      <c r="B114" s="57">
        <v>2006</v>
      </c>
      <c r="C114" s="57">
        <v>3</v>
      </c>
      <c r="D114" s="57">
        <v>0</v>
      </c>
      <c r="F114" s="57">
        <v>0.22500000000000001</v>
      </c>
      <c r="G114" s="57">
        <v>8.1000000000000003E-2</v>
      </c>
      <c r="H114" s="57">
        <v>2.5999999999999999E-2</v>
      </c>
      <c r="I114" s="57">
        <v>0.01</v>
      </c>
      <c r="J114" s="57">
        <v>0.78</v>
      </c>
      <c r="K114" s="57" t="s">
        <v>60</v>
      </c>
      <c r="L114" s="70">
        <v>44635</v>
      </c>
    </row>
    <row r="115" spans="1:12" x14ac:dyDescent="0.2">
      <c r="A115" s="57" t="s">
        <v>59</v>
      </c>
      <c r="B115" s="57">
        <v>2352</v>
      </c>
      <c r="C115" s="57">
        <v>2</v>
      </c>
      <c r="D115" s="57">
        <v>1</v>
      </c>
      <c r="F115" s="57">
        <v>0.41</v>
      </c>
      <c r="G115" s="57">
        <v>0.24199999999999999</v>
      </c>
      <c r="H115" s="57">
        <v>3.4000000000000002E-2</v>
      </c>
      <c r="I115" s="57">
        <v>1.7999999999999999E-2</v>
      </c>
      <c r="J115" s="57">
        <v>1.37</v>
      </c>
      <c r="K115" s="33">
        <f>AVERAGE(0.81,0.84,0.96,1.07)</f>
        <v>0.91999999999999993</v>
      </c>
      <c r="L115" s="70">
        <v>44635</v>
      </c>
    </row>
    <row r="116" spans="1:12" x14ac:dyDescent="0.2">
      <c r="A116" s="57" t="s">
        <v>159</v>
      </c>
      <c r="B116" s="57">
        <v>2025</v>
      </c>
      <c r="C116" s="57">
        <v>2</v>
      </c>
      <c r="D116" s="57">
        <v>0</v>
      </c>
      <c r="F116" s="57">
        <v>0.94299999999999995</v>
      </c>
      <c r="G116" s="57">
        <v>0.44700000000000001</v>
      </c>
      <c r="H116" s="57">
        <v>0.16300000000000001</v>
      </c>
      <c r="I116" s="57">
        <v>6.9000000000000006E-2</v>
      </c>
      <c r="J116" s="57">
        <v>4.34</v>
      </c>
      <c r="K116" s="33">
        <f>AVERAGE(1.55,1.46,1.39,1.19)</f>
        <v>1.3975</v>
      </c>
      <c r="L116" s="70">
        <v>44635</v>
      </c>
    </row>
    <row r="117" spans="1:12" x14ac:dyDescent="0.2">
      <c r="A117" s="57" t="s">
        <v>159</v>
      </c>
      <c r="B117" s="57">
        <v>2021</v>
      </c>
      <c r="C117" s="57">
        <v>1</v>
      </c>
      <c r="D117" s="57">
        <v>0</v>
      </c>
      <c r="F117" s="57">
        <v>0.40400000000000003</v>
      </c>
      <c r="G117" s="57">
        <v>0.2</v>
      </c>
      <c r="H117" s="57">
        <v>4.4999999999999998E-2</v>
      </c>
      <c r="I117" s="57">
        <v>1.7999999999999999E-2</v>
      </c>
      <c r="J117" s="57">
        <v>1.21</v>
      </c>
      <c r="K117" s="57" t="s">
        <v>60</v>
      </c>
      <c r="L117" s="70">
        <v>44635</v>
      </c>
    </row>
    <row r="118" spans="1:12" x14ac:dyDescent="0.2">
      <c r="A118" s="57" t="s">
        <v>59</v>
      </c>
      <c r="B118" s="57">
        <v>2352</v>
      </c>
      <c r="C118" s="57">
        <v>1</v>
      </c>
      <c r="D118" s="57">
        <v>1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1.2650000000000001</v>
      </c>
      <c r="L118" s="70">
        <v>44635</v>
      </c>
    </row>
    <row r="119" spans="1:12" x14ac:dyDescent="0.2">
      <c r="A119" s="57" t="s">
        <v>159</v>
      </c>
      <c r="B119" s="57">
        <v>2024</v>
      </c>
      <c r="C119" s="57">
        <v>1</v>
      </c>
      <c r="D119" s="57">
        <v>0</v>
      </c>
      <c r="F119" s="57">
        <v>1.72</v>
      </c>
      <c r="G119" s="57">
        <v>0.71399999999999997</v>
      </c>
      <c r="H119" s="57">
        <v>0.20799999999999999</v>
      </c>
      <c r="I119" s="57">
        <v>7.8E-2</v>
      </c>
      <c r="J119" s="57">
        <v>3.63</v>
      </c>
      <c r="K119" s="33">
        <f>AVERAGE(1.41,1.88,1.78,1.4)</f>
        <v>1.6175000000000002</v>
      </c>
      <c r="L119" s="70">
        <v>44635</v>
      </c>
    </row>
    <row r="120" spans="1:12" x14ac:dyDescent="0.2">
      <c r="A120" s="57" t="s">
        <v>159</v>
      </c>
      <c r="B120" s="57">
        <v>2008</v>
      </c>
      <c r="C120" s="57">
        <v>1</v>
      </c>
      <c r="D120" s="57">
        <v>0</v>
      </c>
      <c r="F120" s="57">
        <v>0.505</v>
      </c>
      <c r="G120" s="57">
        <v>0.17299999999999999</v>
      </c>
      <c r="H120" s="57">
        <v>0.03</v>
      </c>
      <c r="I120" s="57">
        <v>1.0999999999999999E-2</v>
      </c>
      <c r="J120" s="57">
        <v>0.9</v>
      </c>
      <c r="K120" s="57" t="s">
        <v>60</v>
      </c>
      <c r="L120" s="70">
        <v>44635</v>
      </c>
    </row>
    <row r="121" spans="1:12" x14ac:dyDescent="0.2">
      <c r="A121" s="57" t="s">
        <v>59</v>
      </c>
      <c r="B121" s="57">
        <v>2331</v>
      </c>
      <c r="C121" s="57">
        <v>2</v>
      </c>
      <c r="D121" s="57">
        <v>1</v>
      </c>
      <c r="F121" s="57">
        <v>0.56299999999999994</v>
      </c>
      <c r="G121" s="57">
        <v>0.34</v>
      </c>
      <c r="H121" s="57">
        <v>0.19900000000000001</v>
      </c>
      <c r="I121" s="57">
        <v>0.109</v>
      </c>
      <c r="J121" s="57">
        <v>4.63</v>
      </c>
      <c r="K121" s="33">
        <f>AVERAGE(1.58,1.43,1.48,1.52)</f>
        <v>1.5024999999999999</v>
      </c>
      <c r="L121" s="70">
        <v>44635</v>
      </c>
    </row>
    <row r="122" spans="1:12" x14ac:dyDescent="0.2">
      <c r="A122" s="57" t="s">
        <v>159</v>
      </c>
      <c r="B122" s="57">
        <v>2024</v>
      </c>
      <c r="C122" s="57">
        <v>4</v>
      </c>
      <c r="D122" s="57">
        <v>0</v>
      </c>
      <c r="F122" s="57">
        <v>0.93899999999999995</v>
      </c>
      <c r="G122" s="57">
        <v>0.35</v>
      </c>
      <c r="H122" s="57">
        <v>0.20300000000000001</v>
      </c>
      <c r="I122" s="57">
        <v>7.3999999999999996E-2</v>
      </c>
      <c r="J122" s="57">
        <v>4.82</v>
      </c>
      <c r="K122" s="33">
        <f>AVERAGE(1.43,1.63,1.79,1.75)</f>
        <v>1.65</v>
      </c>
      <c r="L122" s="70">
        <v>44635</v>
      </c>
    </row>
    <row r="123" spans="1:12" x14ac:dyDescent="0.2">
      <c r="A123" s="57" t="s">
        <v>159</v>
      </c>
      <c r="B123" s="57">
        <v>2025</v>
      </c>
      <c r="C123" s="57">
        <v>4</v>
      </c>
      <c r="D123" s="57">
        <v>0</v>
      </c>
      <c r="F123" s="57">
        <v>0.65700000000000003</v>
      </c>
      <c r="G123" s="57">
        <v>0.32200000000000001</v>
      </c>
      <c r="H123" s="57">
        <v>9.8000000000000004E-2</v>
      </c>
      <c r="I123" s="57">
        <v>4.2999999999999997E-2</v>
      </c>
      <c r="J123" s="57">
        <v>3.21</v>
      </c>
      <c r="K123" s="33">
        <f>AVERAGE(1.37,1.18,1.22,1.22)</f>
        <v>1.2474999999999998</v>
      </c>
      <c r="L123" s="70">
        <v>44635</v>
      </c>
    </row>
    <row r="124" spans="1:12" x14ac:dyDescent="0.2">
      <c r="A124" s="57" t="s">
        <v>59</v>
      </c>
      <c r="B124" s="57">
        <v>2023</v>
      </c>
      <c r="C124" s="57">
        <v>2</v>
      </c>
      <c r="D124" s="57">
        <v>0</v>
      </c>
      <c r="E124" s="57" t="s">
        <v>161</v>
      </c>
      <c r="F124" s="57">
        <v>1.3049999999999999</v>
      </c>
      <c r="G124" s="57">
        <v>0.65</v>
      </c>
      <c r="H124" s="57">
        <v>0.104</v>
      </c>
      <c r="I124" s="57">
        <v>4.5999999999999999E-2</v>
      </c>
      <c r="J124" s="57">
        <v>3.43</v>
      </c>
      <c r="K124" s="33">
        <f>AVERAGE(0.91,1.16,1.02,0.99)</f>
        <v>1.02</v>
      </c>
      <c r="L124" s="70">
        <v>44635</v>
      </c>
    </row>
    <row r="125" spans="1:12" x14ac:dyDescent="0.2">
      <c r="A125" s="57" t="s">
        <v>59</v>
      </c>
      <c r="B125" s="57">
        <v>2345</v>
      </c>
      <c r="C125" s="57">
        <v>3</v>
      </c>
      <c r="D125" s="57">
        <v>1</v>
      </c>
      <c r="F125" s="57">
        <v>2.0649999999999999</v>
      </c>
      <c r="G125" s="57">
        <v>1.212</v>
      </c>
      <c r="H125" s="57">
        <v>0.31900000000000001</v>
      </c>
      <c r="I125" s="57">
        <v>0.17699999999999999</v>
      </c>
      <c r="J125" s="57">
        <v>5.41</v>
      </c>
      <c r="K125" s="33">
        <f>AVERAGE(1.74,1.77,1.75,1.78)</f>
        <v>1.76</v>
      </c>
      <c r="L125" s="70">
        <v>44635</v>
      </c>
    </row>
    <row r="126" spans="1:12" x14ac:dyDescent="0.2">
      <c r="A126" s="57" t="s">
        <v>59</v>
      </c>
      <c r="B126" s="57">
        <v>2023</v>
      </c>
      <c r="C126" s="57">
        <v>4</v>
      </c>
      <c r="D126" s="57">
        <v>0</v>
      </c>
      <c r="E126" s="57" t="s">
        <v>160</v>
      </c>
      <c r="F126" s="57">
        <v>1.5129999999999999</v>
      </c>
      <c r="G126" s="57">
        <v>0.74199999999999999</v>
      </c>
      <c r="H126" s="57">
        <v>0.17599999999999999</v>
      </c>
      <c r="I126" s="57">
        <v>7.5999999999999998E-2</v>
      </c>
      <c r="J126" s="57">
        <v>5.03</v>
      </c>
      <c r="K126" s="33">
        <f>AVERAGE(1.28,1.31,1.22,1.33)</f>
        <v>1.2849999999999999</v>
      </c>
      <c r="L126" s="70">
        <v>44635</v>
      </c>
    </row>
    <row r="127" spans="1:12" x14ac:dyDescent="0.2">
      <c r="A127" s="57" t="s">
        <v>59</v>
      </c>
      <c r="B127" s="57">
        <v>2345</v>
      </c>
      <c r="C127" s="57">
        <v>1</v>
      </c>
      <c r="D127" s="57">
        <v>1</v>
      </c>
      <c r="E127" s="57" t="s">
        <v>160</v>
      </c>
      <c r="F127" s="57">
        <v>2.5489999999999999</v>
      </c>
      <c r="G127" s="57">
        <v>1.486</v>
      </c>
      <c r="H127" s="57">
        <v>0.28000000000000003</v>
      </c>
      <c r="I127" s="57">
        <v>0.14699999999999999</v>
      </c>
      <c r="J127" s="57">
        <v>4.3899999999999997</v>
      </c>
      <c r="K127" s="33">
        <f>AVERAGE(2.03,2.05,1.89,1.13)</f>
        <v>1.7749999999999999</v>
      </c>
      <c r="L127" s="70">
        <v>44635</v>
      </c>
    </row>
    <row r="128" spans="1:12" x14ac:dyDescent="0.2">
      <c r="A128" s="57" t="s">
        <v>59</v>
      </c>
      <c r="B128" s="57">
        <v>2089</v>
      </c>
      <c r="C128" s="57">
        <v>2</v>
      </c>
      <c r="D128" s="57">
        <v>1</v>
      </c>
      <c r="F128" s="57">
        <v>1.0620000000000001</v>
      </c>
      <c r="G128" s="57">
        <v>0.622</v>
      </c>
      <c r="H128" s="57">
        <v>0.27800000000000002</v>
      </c>
      <c r="I128" s="57">
        <v>0.157</v>
      </c>
      <c r="J128" s="57">
        <v>6.85</v>
      </c>
      <c r="K128" s="33">
        <f>AVERAGE(1.65,1.53,1.5,1.57)</f>
        <v>1.5625</v>
      </c>
      <c r="L128" s="70">
        <v>44635</v>
      </c>
    </row>
    <row r="129" spans="1:12" x14ac:dyDescent="0.2">
      <c r="A129" s="57" t="s">
        <v>159</v>
      </c>
      <c r="B129" s="57">
        <v>2008</v>
      </c>
      <c r="C129" s="57">
        <v>3</v>
      </c>
      <c r="D129" s="57">
        <v>0</v>
      </c>
      <c r="F129" s="57">
        <v>0.91300000000000003</v>
      </c>
      <c r="G129" s="57">
        <v>0.317</v>
      </c>
      <c r="H129" s="57">
        <v>0.06</v>
      </c>
      <c r="I129" s="57">
        <v>2.1000000000000001E-2</v>
      </c>
      <c r="J129" s="57">
        <v>1.5</v>
      </c>
      <c r="K129" s="57" t="s">
        <v>60</v>
      </c>
      <c r="L129" s="70">
        <v>44635</v>
      </c>
    </row>
    <row r="130" spans="1:12" x14ac:dyDescent="0.2">
      <c r="A130" s="57" t="s">
        <v>159</v>
      </c>
      <c r="B130" s="57">
        <v>2381</v>
      </c>
      <c r="C130" s="57">
        <v>1</v>
      </c>
      <c r="D130" s="57">
        <v>0</v>
      </c>
      <c r="F130" s="57">
        <v>0.59399999999999997</v>
      </c>
      <c r="G130" s="57">
        <v>0.22600000000000001</v>
      </c>
      <c r="H130" s="57">
        <v>5.6000000000000001E-2</v>
      </c>
      <c r="I130" s="57">
        <v>0.02</v>
      </c>
      <c r="J130" s="57">
        <v>0.96</v>
      </c>
      <c r="K130" s="57" t="s">
        <v>60</v>
      </c>
      <c r="L130" s="70">
        <v>44635</v>
      </c>
    </row>
    <row r="131" spans="1:12" x14ac:dyDescent="0.2">
      <c r="A131" s="57" t="s">
        <v>159</v>
      </c>
      <c r="B131" s="57">
        <v>2004</v>
      </c>
      <c r="C131" s="57">
        <v>2</v>
      </c>
      <c r="D131" s="57">
        <v>0</v>
      </c>
      <c r="F131" s="57">
        <v>0.51200000000000001</v>
      </c>
      <c r="G131" s="57">
        <v>0.189</v>
      </c>
      <c r="H131" s="57">
        <v>0.09</v>
      </c>
      <c r="I131" s="57">
        <v>3.2000000000000001E-2</v>
      </c>
      <c r="J131" s="57">
        <v>2.2000000000000002</v>
      </c>
      <c r="K131" s="33">
        <f>AVERAGE(1.15,1.22,1.21,1.14)</f>
        <v>1.18</v>
      </c>
      <c r="L131" s="70">
        <v>44635</v>
      </c>
    </row>
    <row r="132" spans="1:12" x14ac:dyDescent="0.2">
      <c r="A132" s="57" t="s">
        <v>59</v>
      </c>
      <c r="B132" s="57">
        <v>2301</v>
      </c>
      <c r="C132" s="57">
        <v>3</v>
      </c>
      <c r="D132" s="57">
        <v>1</v>
      </c>
      <c r="F132" s="57">
        <v>1.95</v>
      </c>
      <c r="G132" s="57">
        <v>1.1000000000000001</v>
      </c>
      <c r="H132" s="57">
        <v>0.28199999999999997</v>
      </c>
      <c r="I132" s="57">
        <v>0.14799999999999999</v>
      </c>
      <c r="J132" s="57">
        <v>7.56</v>
      </c>
      <c r="K132" s="33">
        <f>AVERAGE(1.39,1.47,1.23,1.52)</f>
        <v>1.4024999999999999</v>
      </c>
      <c r="L132" s="70">
        <v>44635</v>
      </c>
    </row>
    <row r="133" spans="1:12" x14ac:dyDescent="0.2">
      <c r="A133" s="57" t="s">
        <v>59</v>
      </c>
      <c r="B133" s="57">
        <v>2092</v>
      </c>
      <c r="C133" s="57">
        <v>1</v>
      </c>
      <c r="D133" s="57">
        <v>1</v>
      </c>
      <c r="F133" s="57">
        <v>0.379</v>
      </c>
      <c r="G133" s="57">
        <v>0.23300000000000001</v>
      </c>
      <c r="H133" s="57">
        <v>8.1000000000000003E-2</v>
      </c>
      <c r="I133" s="57">
        <v>4.2999999999999997E-2</v>
      </c>
      <c r="J133" s="57">
        <v>2.04</v>
      </c>
      <c r="K133" s="33">
        <f>AVERAGE(1.44,1.47,1.42,1.38)</f>
        <v>1.4275</v>
      </c>
      <c r="L133" s="70">
        <v>44635</v>
      </c>
    </row>
    <row r="134" spans="1:12" x14ac:dyDescent="0.2">
      <c r="A134" s="57" t="s">
        <v>59</v>
      </c>
      <c r="B134" s="57">
        <v>2023</v>
      </c>
      <c r="C134" s="57">
        <v>3</v>
      </c>
      <c r="D134" s="57">
        <v>0</v>
      </c>
      <c r="F134" s="57">
        <v>1.0580000000000001</v>
      </c>
      <c r="G134" s="57">
        <v>0.54800000000000004</v>
      </c>
      <c r="H134" s="57">
        <v>8.7999999999999995E-2</v>
      </c>
      <c r="I134" s="57">
        <v>4.1000000000000002E-2</v>
      </c>
      <c r="J134" s="57">
        <v>1.84</v>
      </c>
      <c r="K134" s="33">
        <f>AVERAGE(1.1,1.35,1.48,1.24)</f>
        <v>1.2925</v>
      </c>
      <c r="L134" s="70">
        <v>44635</v>
      </c>
    </row>
    <row r="135" spans="1:12" x14ac:dyDescent="0.2">
      <c r="A135" s="57" t="s">
        <v>59</v>
      </c>
      <c r="B135" s="57">
        <v>2023</v>
      </c>
      <c r="C135" s="57">
        <v>2</v>
      </c>
      <c r="D135" s="57">
        <v>0</v>
      </c>
      <c r="E135" s="57" t="s">
        <v>162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1.0074999999999998</v>
      </c>
      <c r="L135" s="70">
        <v>44635</v>
      </c>
    </row>
    <row r="136" spans="1:12" x14ac:dyDescent="0.2">
      <c r="A136" s="57" t="s">
        <v>59</v>
      </c>
      <c r="B136" s="57">
        <v>2345</v>
      </c>
      <c r="C136" s="57">
        <v>1</v>
      </c>
      <c r="D136" s="57">
        <v>1</v>
      </c>
      <c r="F136" s="57">
        <v>2.4009999999999998</v>
      </c>
      <c r="G136" s="57">
        <v>1.4119999999999999</v>
      </c>
      <c r="H136" s="57">
        <v>0.41799999999999998</v>
      </c>
      <c r="I136" s="57">
        <v>0.22700000000000001</v>
      </c>
      <c r="J136" s="57">
        <v>7.02</v>
      </c>
      <c r="K136" s="33">
        <f>AVERAGE(2.05,1.95,2.07,2.04)</f>
        <v>2.0274999999999999</v>
      </c>
      <c r="L136" s="70">
        <v>44635</v>
      </c>
    </row>
    <row r="137" spans="1:12" x14ac:dyDescent="0.2">
      <c r="A137" s="57" t="s">
        <v>59</v>
      </c>
      <c r="B137" s="57">
        <v>2023</v>
      </c>
      <c r="C137" s="57">
        <v>2</v>
      </c>
      <c r="D137" s="57">
        <v>1</v>
      </c>
      <c r="E137" s="57" t="s">
        <v>160</v>
      </c>
      <c r="F137" s="57">
        <v>0.438</v>
      </c>
      <c r="G137" s="57">
        <v>0.26900000000000002</v>
      </c>
      <c r="H137" s="57">
        <v>0.16500000000000001</v>
      </c>
      <c r="I137" s="57">
        <v>8.5999999999999993E-2</v>
      </c>
      <c r="J137" s="57">
        <v>3.57</v>
      </c>
      <c r="K137" s="33">
        <f>AVERAGE(1.19,1.43,1.33,1.46)</f>
        <v>1.3525</v>
      </c>
      <c r="L137" s="70">
        <v>44635</v>
      </c>
    </row>
    <row r="138" spans="1:12" x14ac:dyDescent="0.2">
      <c r="A138" s="57" t="s">
        <v>159</v>
      </c>
      <c r="B138" s="57">
        <v>2027</v>
      </c>
      <c r="C138" s="57">
        <v>2</v>
      </c>
      <c r="D138" s="57">
        <v>0</v>
      </c>
      <c r="F138" s="57">
        <v>1.026</v>
      </c>
      <c r="G138" s="57">
        <v>0.40200000000000002</v>
      </c>
      <c r="H138" s="57">
        <v>4.2000000000000003E-2</v>
      </c>
      <c r="I138" s="57">
        <v>1.6E-2</v>
      </c>
      <c r="J138" s="57">
        <v>1.05</v>
      </c>
      <c r="K138" s="57" t="s">
        <v>60</v>
      </c>
      <c r="L138" s="70">
        <v>44635</v>
      </c>
    </row>
    <row r="139" spans="1:12" x14ac:dyDescent="0.2">
      <c r="A139" s="57" t="s">
        <v>159</v>
      </c>
      <c r="B139" s="57">
        <v>2379</v>
      </c>
      <c r="C139" s="57">
        <v>2</v>
      </c>
      <c r="D139" s="57">
        <v>0</v>
      </c>
      <c r="F139" s="57">
        <v>0.58899999999999997</v>
      </c>
      <c r="G139" s="57">
        <v>0.27</v>
      </c>
      <c r="H139" s="57">
        <v>0.03</v>
      </c>
      <c r="I139" s="57">
        <v>1.2999999999999999E-2</v>
      </c>
      <c r="J139" s="57">
        <v>0.8</v>
      </c>
      <c r="K139" s="33">
        <f>AVERAGE(0.72,0.64,0.98,0.77)</f>
        <v>0.77749999999999997</v>
      </c>
      <c r="L139" s="70">
        <v>44635</v>
      </c>
    </row>
    <row r="140" spans="1:12" x14ac:dyDescent="0.2">
      <c r="A140" s="57" t="s">
        <v>59</v>
      </c>
      <c r="B140" s="57">
        <v>2301</v>
      </c>
      <c r="C140" s="57">
        <v>2</v>
      </c>
      <c r="D140" s="57">
        <v>1</v>
      </c>
      <c r="F140" s="57">
        <v>2.3279999999999998</v>
      </c>
      <c r="G140" s="57">
        <v>1.3440000000000001</v>
      </c>
      <c r="H140" s="57">
        <v>0.39900000000000002</v>
      </c>
      <c r="I140" s="57">
        <v>0.21299999999999999</v>
      </c>
      <c r="J140" s="57">
        <v>9.51</v>
      </c>
      <c r="K140" s="33">
        <f>AVERAGE(1.4,1.43,1.34,1.53)</f>
        <v>1.425</v>
      </c>
      <c r="L140" s="70">
        <v>44635</v>
      </c>
    </row>
    <row r="141" spans="1:12" x14ac:dyDescent="0.2">
      <c r="A141" s="57" t="s">
        <v>59</v>
      </c>
      <c r="B141" s="57">
        <v>2345</v>
      </c>
      <c r="C141" s="57">
        <v>2</v>
      </c>
      <c r="D141" s="57">
        <v>1</v>
      </c>
      <c r="F141" s="57">
        <v>1.66</v>
      </c>
      <c r="G141" s="57">
        <v>0.97699999999999998</v>
      </c>
      <c r="H141" s="57">
        <v>0.309</v>
      </c>
      <c r="I141" s="57">
        <v>0.17299999999999999</v>
      </c>
      <c r="J141" s="57">
        <v>5.59</v>
      </c>
      <c r="K141" s="33">
        <f>AVERAGE(1.64,1.62,1.64,1.65)</f>
        <v>1.6374999999999997</v>
      </c>
      <c r="L141" s="70">
        <v>44635</v>
      </c>
    </row>
    <row r="142" spans="1:12" x14ac:dyDescent="0.2">
      <c r="A142" s="57" t="s">
        <v>59</v>
      </c>
      <c r="B142" s="57">
        <v>2089</v>
      </c>
      <c r="C142" s="57">
        <v>1</v>
      </c>
      <c r="D142" s="57">
        <v>1</v>
      </c>
      <c r="F142" s="57">
        <v>2.3769999999999998</v>
      </c>
      <c r="G142" s="57">
        <v>1.421</v>
      </c>
      <c r="H142" s="57" t="s">
        <v>60</v>
      </c>
      <c r="I142" s="57">
        <v>0.26700000000000002</v>
      </c>
      <c r="J142" s="57">
        <v>8.5500000000000007</v>
      </c>
      <c r="K142" s="33">
        <f>AVERAGE(1.89,1.99,2.03,1.98)</f>
        <v>1.9725000000000001</v>
      </c>
      <c r="L142" s="70">
        <v>44635</v>
      </c>
    </row>
    <row r="143" spans="1:12" x14ac:dyDescent="0.2">
      <c r="A143" s="57" t="s">
        <v>59</v>
      </c>
      <c r="B143" s="57">
        <v>2023</v>
      </c>
      <c r="C143" s="57">
        <v>1</v>
      </c>
      <c r="D143" s="57">
        <v>0</v>
      </c>
      <c r="E143" s="57" t="s">
        <v>162</v>
      </c>
      <c r="F143" s="57">
        <v>0.25700000000000001</v>
      </c>
      <c r="G143" s="57">
        <v>0.13300000000000001</v>
      </c>
      <c r="H143" s="57">
        <v>2.5000000000000001E-2</v>
      </c>
      <c r="I143" s="57">
        <v>1.2999999999999999E-2</v>
      </c>
      <c r="J143" s="57">
        <v>0.86</v>
      </c>
      <c r="K143" s="33">
        <f>AVERAGE(1.2,0.98,1.1,1.22)</f>
        <v>1.125</v>
      </c>
      <c r="L143" s="70">
        <v>44635</v>
      </c>
    </row>
    <row r="144" spans="1:12" x14ac:dyDescent="0.2">
      <c r="A144" s="57" t="s">
        <v>159</v>
      </c>
      <c r="B144" s="57">
        <v>2382</v>
      </c>
      <c r="C144" s="57">
        <v>3</v>
      </c>
      <c r="D144" s="57">
        <v>0</v>
      </c>
      <c r="F144" s="57">
        <v>1.123</v>
      </c>
      <c r="G144" s="57">
        <v>0.48499999999999999</v>
      </c>
      <c r="H144" s="57">
        <v>8.2000000000000003E-2</v>
      </c>
      <c r="I144" s="57">
        <v>3.2000000000000001E-2</v>
      </c>
      <c r="J144" s="57">
        <v>2.19</v>
      </c>
      <c r="K144" s="33">
        <f>AVERAGE(0.88,1.12,1.22,1.38)</f>
        <v>1.1499999999999999</v>
      </c>
      <c r="L144" s="70">
        <v>44635</v>
      </c>
    </row>
    <row r="145" spans="1:12" x14ac:dyDescent="0.2">
      <c r="A145" s="57" t="s">
        <v>59</v>
      </c>
      <c r="B145" s="57">
        <v>2089</v>
      </c>
      <c r="C145" s="57">
        <v>4</v>
      </c>
      <c r="D145" s="57">
        <v>0</v>
      </c>
      <c r="F145" s="57">
        <v>0.752</v>
      </c>
      <c r="G145" s="57">
        <v>0.438</v>
      </c>
      <c r="H145" s="57">
        <v>9.8000000000000004E-2</v>
      </c>
      <c r="I145" s="57">
        <v>5.0999999999999997E-2</v>
      </c>
      <c r="J145" s="57">
        <v>3.17</v>
      </c>
      <c r="K145" s="33">
        <f>AVERAGE(1.21,1.38,1.45,1.31)</f>
        <v>1.3374999999999999</v>
      </c>
      <c r="L145" s="70">
        <v>44635</v>
      </c>
    </row>
    <row r="146" spans="1:12" x14ac:dyDescent="0.2">
      <c r="A146" s="57" t="s">
        <v>59</v>
      </c>
      <c r="B146" s="57">
        <v>2377</v>
      </c>
      <c r="C146" s="57">
        <v>1</v>
      </c>
      <c r="D146" s="57">
        <v>1</v>
      </c>
      <c r="F146" s="57">
        <v>2.0379999999999998</v>
      </c>
      <c r="G146" s="57">
        <v>1.258</v>
      </c>
      <c r="H146" s="57">
        <v>0.46600000000000003</v>
      </c>
      <c r="I146" s="57">
        <v>0.25900000000000001</v>
      </c>
      <c r="J146" s="57">
        <v>7.75</v>
      </c>
      <c r="K146" s="33">
        <f>AVERAGE(1.19,2.16,2.22,2.05)</f>
        <v>1.905</v>
      </c>
      <c r="L146" s="70">
        <v>44635</v>
      </c>
    </row>
    <row r="147" spans="1:12" x14ac:dyDescent="0.2">
      <c r="A147" s="57" t="s">
        <v>159</v>
      </c>
      <c r="B147" s="57">
        <v>2006</v>
      </c>
      <c r="C147" s="57">
        <v>2</v>
      </c>
      <c r="D147" s="57">
        <v>0</v>
      </c>
      <c r="F147" s="57">
        <v>0.91600000000000004</v>
      </c>
      <c r="G147" s="57">
        <v>0.32600000000000001</v>
      </c>
      <c r="H147" s="57">
        <v>5.2999999999999999E-2</v>
      </c>
      <c r="I147" s="57">
        <v>0.02</v>
      </c>
      <c r="J147" s="57">
        <v>1.38</v>
      </c>
      <c r="K147" s="33">
        <f>AVERAGE(1.74,1.69,1.78,1.38)</f>
        <v>1.6475</v>
      </c>
      <c r="L147" s="70">
        <v>44635</v>
      </c>
    </row>
    <row r="148" spans="1:12" x14ac:dyDescent="0.2">
      <c r="A148" s="57" t="s">
        <v>159</v>
      </c>
      <c r="B148" s="57">
        <v>2384</v>
      </c>
      <c r="C148" s="57">
        <v>3</v>
      </c>
      <c r="D148" s="57">
        <v>0</v>
      </c>
      <c r="F148" s="57">
        <v>0.247</v>
      </c>
      <c r="G148" s="57">
        <v>0.106</v>
      </c>
      <c r="H148" s="57">
        <v>1.0999999999999999E-2</v>
      </c>
      <c r="I148" s="57">
        <v>4.0000000000000001E-3</v>
      </c>
      <c r="J148" s="57">
        <v>0.61</v>
      </c>
      <c r="K148" s="57" t="s">
        <v>60</v>
      </c>
      <c r="L148" s="70">
        <v>44635</v>
      </c>
    </row>
    <row r="149" spans="1:12" x14ac:dyDescent="0.2">
      <c r="A149" s="57" t="s">
        <v>159</v>
      </c>
      <c r="B149" s="57">
        <v>2378</v>
      </c>
      <c r="C149" s="57">
        <v>4</v>
      </c>
      <c r="D149" s="57">
        <v>0</v>
      </c>
      <c r="F149" s="57">
        <v>0.45200000000000001</v>
      </c>
      <c r="G149" s="57">
        <v>0.20799999999999999</v>
      </c>
      <c r="H149" s="57">
        <v>8.5999999999999993E-2</v>
      </c>
      <c r="I149" s="57">
        <v>3.5000000000000003E-2</v>
      </c>
      <c r="J149" s="57">
        <v>2.21</v>
      </c>
      <c r="K149" s="33">
        <f>AVERAGE(0.9,0.88,1.05,1.13)</f>
        <v>0.99</v>
      </c>
      <c r="L149" s="70">
        <v>44635</v>
      </c>
    </row>
    <row r="150" spans="1:12" x14ac:dyDescent="0.2">
      <c r="A150" s="57" t="s">
        <v>159</v>
      </c>
      <c r="B150" s="57">
        <v>2378</v>
      </c>
      <c r="C150" s="57">
        <v>3</v>
      </c>
      <c r="D150" s="57">
        <v>0</v>
      </c>
      <c r="F150" s="57">
        <v>0.82699999999999996</v>
      </c>
      <c r="G150" s="57">
        <v>0.376</v>
      </c>
      <c r="H150" s="57">
        <v>0.161</v>
      </c>
      <c r="I150" s="57">
        <v>6.5000000000000002E-2</v>
      </c>
      <c r="J150" s="57">
        <v>4.0199999999999996</v>
      </c>
      <c r="K150" s="33">
        <f>AVERAGE(1.32,1.24,1.34,1.48)</f>
        <v>1.3450000000000002</v>
      </c>
      <c r="L150" s="70">
        <v>44635</v>
      </c>
    </row>
    <row r="151" spans="1:12" x14ac:dyDescent="0.2">
      <c r="A151" s="57" t="s">
        <v>159</v>
      </c>
      <c r="B151" s="57">
        <v>2020</v>
      </c>
      <c r="C151" s="57">
        <v>4</v>
      </c>
      <c r="D151" s="57">
        <v>0</v>
      </c>
      <c r="F151" s="57">
        <v>0.27700000000000002</v>
      </c>
      <c r="G151" s="57">
        <v>0.124</v>
      </c>
      <c r="H151" s="57">
        <v>1.7999999999999999E-2</v>
      </c>
      <c r="I151" s="57">
        <v>7.0000000000000001E-3</v>
      </c>
      <c r="J151" s="57">
        <v>0.7</v>
      </c>
      <c r="K151" s="33">
        <f>AVERAGE(0.85,0.76,0.67,0.56)</f>
        <v>0.71</v>
      </c>
      <c r="L151" s="70">
        <v>44635</v>
      </c>
    </row>
    <row r="152" spans="1:12" x14ac:dyDescent="0.2">
      <c r="A152" s="57" t="s">
        <v>59</v>
      </c>
      <c r="B152" s="57">
        <v>2022</v>
      </c>
      <c r="C152" s="57">
        <v>3</v>
      </c>
      <c r="D152" s="57">
        <v>0</v>
      </c>
      <c r="F152" s="57">
        <v>3.2879999999999998</v>
      </c>
      <c r="G152" s="57">
        <v>1.546</v>
      </c>
      <c r="H152" s="57">
        <v>0.23699999999999999</v>
      </c>
      <c r="I152" s="57">
        <v>8.8999999999999996E-2</v>
      </c>
      <c r="J152" s="57">
        <v>3.42</v>
      </c>
      <c r="K152" s="33">
        <f>AVERAGE(1.65,1.5,1.53,1.6)</f>
        <v>1.5699999999999998</v>
      </c>
      <c r="L152" s="70">
        <v>44635</v>
      </c>
    </row>
    <row r="153" spans="1:12" x14ac:dyDescent="0.2">
      <c r="A153" s="57" t="s">
        <v>159</v>
      </c>
      <c r="B153" s="57">
        <v>2007</v>
      </c>
      <c r="C153" s="57">
        <v>3</v>
      </c>
      <c r="D153" s="57">
        <v>0</v>
      </c>
      <c r="F153" s="57">
        <v>0.28999999999999998</v>
      </c>
      <c r="G153" s="57">
        <v>0.13300000000000001</v>
      </c>
      <c r="H153" s="57" t="s">
        <v>60</v>
      </c>
      <c r="I153" s="57">
        <v>8.9999999999999993E-3</v>
      </c>
      <c r="J153" s="57">
        <v>1.0900000000000001</v>
      </c>
      <c r="K153" s="57" t="s">
        <v>60</v>
      </c>
      <c r="L153" s="70">
        <v>44635</v>
      </c>
    </row>
    <row r="154" spans="1:12" x14ac:dyDescent="0.2">
      <c r="A154" s="57" t="s">
        <v>59</v>
      </c>
      <c r="B154" s="57">
        <v>2092</v>
      </c>
      <c r="C154" s="57">
        <v>3</v>
      </c>
      <c r="D154" s="57">
        <v>1</v>
      </c>
      <c r="F154" s="57">
        <v>0.76400000000000001</v>
      </c>
      <c r="G154" s="57">
        <v>0.44500000000000001</v>
      </c>
      <c r="H154" s="57">
        <v>0.121</v>
      </c>
      <c r="I154" s="57">
        <v>6.6000000000000003E-2</v>
      </c>
      <c r="J154" s="57">
        <v>3.5</v>
      </c>
      <c r="K154" s="33">
        <f>AVERAGE(1.34,1.39,1.36,1.32)</f>
        <v>1.3525</v>
      </c>
      <c r="L154" s="70">
        <v>44635</v>
      </c>
    </row>
    <row r="155" spans="1:12" x14ac:dyDescent="0.2">
      <c r="A155" s="57" t="s">
        <v>59</v>
      </c>
      <c r="B155" s="57">
        <v>2022</v>
      </c>
      <c r="C155" s="57">
        <v>2</v>
      </c>
      <c r="D155" s="57">
        <v>0</v>
      </c>
      <c r="F155" s="57">
        <v>1.921</v>
      </c>
      <c r="G155" s="57">
        <v>0.93400000000000005</v>
      </c>
      <c r="H155" s="57">
        <v>0.253</v>
      </c>
      <c r="I155" s="57">
        <v>9.2999999999999999E-2</v>
      </c>
      <c r="J155" s="57">
        <v>2.5</v>
      </c>
      <c r="K155" s="33">
        <f>AVERAGE(1.5,1.47,1.4,1.45)</f>
        <v>1.4549999999999998</v>
      </c>
      <c r="L155" s="70">
        <v>44635</v>
      </c>
    </row>
    <row r="156" spans="1:12" x14ac:dyDescent="0.2">
      <c r="A156" s="57" t="s">
        <v>59</v>
      </c>
      <c r="B156" s="57">
        <v>2331</v>
      </c>
      <c r="C156" s="57">
        <v>1</v>
      </c>
      <c r="D156" s="57">
        <v>1</v>
      </c>
      <c r="F156" s="57">
        <v>2.0409999999999999</v>
      </c>
      <c r="G156" s="57">
        <v>1.282</v>
      </c>
      <c r="H156" s="57">
        <v>0.41399999999999998</v>
      </c>
      <c r="I156" s="57">
        <v>0.245</v>
      </c>
      <c r="J156" s="57">
        <v>7.13</v>
      </c>
      <c r="K156" s="33">
        <f>AVERAGE(2.01,1.92,1.96,1.94)</f>
        <v>1.9575</v>
      </c>
      <c r="L156" s="70">
        <v>44635</v>
      </c>
    </row>
    <row r="157" spans="1:12" x14ac:dyDescent="0.2">
      <c r="A157" s="57" t="s">
        <v>59</v>
      </c>
      <c r="B157" s="57">
        <v>2345</v>
      </c>
      <c r="C157" s="57">
        <v>1</v>
      </c>
      <c r="D157" s="57">
        <v>1</v>
      </c>
      <c r="E157" s="57" t="s">
        <v>161</v>
      </c>
      <c r="F157" s="57">
        <v>1.3859999999999999</v>
      </c>
      <c r="G157" s="57">
        <v>0.82399999999999995</v>
      </c>
      <c r="H157" s="57" t="s">
        <v>60</v>
      </c>
      <c r="I157" s="57">
        <v>8.8999999999999996E-2</v>
      </c>
      <c r="J157" s="57">
        <v>4.83</v>
      </c>
      <c r="K157" s="33">
        <f>AVERAGE(1.36,1.31,1.36,1.35)</f>
        <v>1.3450000000000002</v>
      </c>
      <c r="L157" s="70">
        <v>44635</v>
      </c>
    </row>
    <row r="158" spans="1:12" x14ac:dyDescent="0.2">
      <c r="A158" s="57" t="s">
        <v>159</v>
      </c>
      <c r="B158" s="57">
        <v>2384</v>
      </c>
      <c r="C158" s="57">
        <v>2</v>
      </c>
      <c r="D158" s="57">
        <v>0</v>
      </c>
      <c r="F158" s="57">
        <v>0.30499999999999999</v>
      </c>
      <c r="G158" s="57">
        <v>0.13100000000000001</v>
      </c>
      <c r="H158" s="57">
        <v>2.7E-2</v>
      </c>
      <c r="I158" s="57">
        <v>1.0999999999999999E-2</v>
      </c>
      <c r="J158" s="57">
        <v>0.86</v>
      </c>
      <c r="K158" s="57" t="s">
        <v>60</v>
      </c>
      <c r="L158" s="70">
        <v>44635</v>
      </c>
    </row>
    <row r="159" spans="1:12" x14ac:dyDescent="0.2">
      <c r="A159" s="57" t="s">
        <v>59</v>
      </c>
      <c r="B159" s="57">
        <v>2089</v>
      </c>
      <c r="C159" s="57">
        <v>3</v>
      </c>
      <c r="D159" s="57">
        <v>0</v>
      </c>
      <c r="F159" s="57">
        <v>0.75600000000000001</v>
      </c>
      <c r="G159" s="57">
        <v>0.45300000000000001</v>
      </c>
      <c r="H159" s="57">
        <v>7.4999999999999997E-2</v>
      </c>
      <c r="I159" s="57">
        <v>4.3999999999999997E-2</v>
      </c>
      <c r="J159" s="57">
        <v>3.22</v>
      </c>
      <c r="K159" s="33">
        <f>AVERAGE(1,1.25,1.23,1.01)</f>
        <v>1.1225000000000001</v>
      </c>
      <c r="L159" s="70">
        <v>44635</v>
      </c>
    </row>
    <row r="160" spans="1:12" x14ac:dyDescent="0.2">
      <c r="A160" s="57" t="s">
        <v>159</v>
      </c>
      <c r="B160" s="57">
        <v>2027</v>
      </c>
      <c r="C160" s="57">
        <v>3</v>
      </c>
      <c r="D160" s="57">
        <v>0</v>
      </c>
      <c r="F160" s="57">
        <v>0.315</v>
      </c>
      <c r="G160" s="57">
        <v>0.13500000000000001</v>
      </c>
      <c r="H160" s="57">
        <v>1.2E-2</v>
      </c>
      <c r="I160" s="57">
        <v>5.0000000000000001E-3</v>
      </c>
      <c r="J160" s="57">
        <v>0.5</v>
      </c>
      <c r="K160" s="57" t="s">
        <v>60</v>
      </c>
      <c r="L160" s="70">
        <v>44635</v>
      </c>
    </row>
    <row r="161" spans="1:12" x14ac:dyDescent="0.2">
      <c r="A161" s="57" t="s">
        <v>59</v>
      </c>
      <c r="B161" s="57">
        <v>2023</v>
      </c>
      <c r="C161" s="57">
        <v>1</v>
      </c>
      <c r="D161" s="57">
        <v>0</v>
      </c>
      <c r="E161" s="57" t="s">
        <v>161</v>
      </c>
      <c r="F161" s="57">
        <v>2.4079999999999999</v>
      </c>
      <c r="G161" s="57">
        <v>1.2589999999999999</v>
      </c>
      <c r="H161" s="57">
        <v>0.21299999999999999</v>
      </c>
      <c r="I161" s="57">
        <v>9.7000000000000003E-2</v>
      </c>
      <c r="J161" s="57">
        <v>5.29</v>
      </c>
      <c r="K161" s="33">
        <f>AVERAGE(1.37,1.55,1.69,1.44)</f>
        <v>1.5124999999999997</v>
      </c>
      <c r="L161" s="70">
        <v>44635</v>
      </c>
    </row>
    <row r="162" spans="1:12" x14ac:dyDescent="0.2">
      <c r="A162" s="57" t="s">
        <v>159</v>
      </c>
      <c r="B162" s="57">
        <v>2381</v>
      </c>
      <c r="C162" s="57">
        <v>2</v>
      </c>
      <c r="D162" s="57">
        <v>0</v>
      </c>
      <c r="F162" s="57">
        <v>0.48199999999999998</v>
      </c>
      <c r="G162" s="57">
        <v>0.191</v>
      </c>
      <c r="H162" s="57">
        <v>2.8000000000000001E-2</v>
      </c>
      <c r="I162" s="57">
        <v>1.0999999999999999E-2</v>
      </c>
      <c r="J162" s="57">
        <v>0.8</v>
      </c>
      <c r="K162" s="57" t="s">
        <v>60</v>
      </c>
      <c r="L162" s="70">
        <v>44635</v>
      </c>
    </row>
    <row r="163" spans="1:12" x14ac:dyDescent="0.2">
      <c r="A163" s="57" t="s">
        <v>159</v>
      </c>
      <c r="B163" s="57">
        <v>2025</v>
      </c>
      <c r="C163" s="57">
        <v>1</v>
      </c>
      <c r="D163" s="57">
        <v>0</v>
      </c>
      <c r="F163" s="57">
        <v>0.85399999999999998</v>
      </c>
      <c r="G163" s="57">
        <v>0.39300000000000002</v>
      </c>
      <c r="H163" s="57">
        <v>0.13300000000000001</v>
      </c>
      <c r="I163" s="57">
        <v>5.5E-2</v>
      </c>
      <c r="J163" s="57">
        <v>3.41</v>
      </c>
      <c r="K163" s="33">
        <f>AVERAGE(1.41,1.13,1.24,1.44)</f>
        <v>1.3050000000000002</v>
      </c>
      <c r="L163" s="70">
        <v>44635</v>
      </c>
    </row>
    <row r="164" spans="1:12" x14ac:dyDescent="0.2">
      <c r="A164" s="57" t="s">
        <v>59</v>
      </c>
      <c r="B164" s="57">
        <v>2345</v>
      </c>
      <c r="C164" s="57">
        <v>3</v>
      </c>
      <c r="D164" s="57">
        <v>1</v>
      </c>
      <c r="E164" s="57" t="s">
        <v>161</v>
      </c>
      <c r="F164" s="57">
        <v>1.7130000000000001</v>
      </c>
      <c r="G164" s="57">
        <v>1.0660000000000001</v>
      </c>
      <c r="H164" s="57">
        <v>0.16400000000000001</v>
      </c>
      <c r="I164" s="57">
        <v>9.8000000000000004E-2</v>
      </c>
      <c r="J164" s="57">
        <v>4.43</v>
      </c>
      <c r="K164" s="33">
        <f>AVERAGE(1.55,1.85,1.94,1.69)</f>
        <v>1.7574999999999998</v>
      </c>
      <c r="L164" s="70">
        <v>44635</v>
      </c>
    </row>
    <row r="165" spans="1:12" x14ac:dyDescent="0.2">
      <c r="A165" s="57" t="s">
        <v>59</v>
      </c>
      <c r="B165" s="57">
        <v>2345</v>
      </c>
      <c r="C165" s="57">
        <v>1</v>
      </c>
      <c r="D165" s="57">
        <v>0</v>
      </c>
      <c r="E165" s="57" t="s">
        <v>161</v>
      </c>
      <c r="F165" s="57">
        <v>0.23699999999999999</v>
      </c>
      <c r="G165" s="57">
        <v>0.13100000000000001</v>
      </c>
      <c r="H165" s="57">
        <v>3.3000000000000002E-2</v>
      </c>
      <c r="I165" s="57">
        <v>1.7000000000000001E-2</v>
      </c>
      <c r="J165" s="57">
        <v>1.23</v>
      </c>
      <c r="K165" s="33">
        <f>AVERAGE(1.06,0.91,1.11,0.8)</f>
        <v>0.97</v>
      </c>
      <c r="L165" s="70">
        <v>44635</v>
      </c>
    </row>
    <row r="166" spans="1:12" x14ac:dyDescent="0.2">
      <c r="A166" s="57" t="s">
        <v>59</v>
      </c>
      <c r="B166" s="57">
        <v>2022</v>
      </c>
      <c r="C166" s="57">
        <v>2</v>
      </c>
      <c r="D166" s="57">
        <v>1</v>
      </c>
      <c r="F166" s="57">
        <v>0.622</v>
      </c>
      <c r="G166" s="57">
        <v>0.36099999999999999</v>
      </c>
      <c r="H166" s="57">
        <v>5.7000000000000002E-2</v>
      </c>
      <c r="I166" s="57">
        <v>9.8000000000000004E-2</v>
      </c>
      <c r="J166" s="57">
        <v>3.61</v>
      </c>
      <c r="K166" s="33">
        <f>AVERAGE(1.71,1.94,1.52,1.64)</f>
        <v>1.7024999999999999</v>
      </c>
      <c r="L166" s="70">
        <v>44635</v>
      </c>
    </row>
    <row r="167" spans="1:12" x14ac:dyDescent="0.2">
      <c r="A167" s="57" t="s">
        <v>59</v>
      </c>
      <c r="B167" s="57">
        <v>2026</v>
      </c>
      <c r="C167" s="57">
        <v>2</v>
      </c>
      <c r="D167" s="57">
        <v>0</v>
      </c>
      <c r="F167" s="57">
        <v>0.24</v>
      </c>
      <c r="G167" s="57">
        <v>0.114</v>
      </c>
      <c r="H167" s="57">
        <v>0.03</v>
      </c>
      <c r="I167" s="57">
        <v>1.2999999999999999E-2</v>
      </c>
      <c r="J167" s="57">
        <v>1.48</v>
      </c>
      <c r="K167" s="33">
        <f>AVERAGE(0.74,0.68,0.71,0.64)</f>
        <v>0.6925</v>
      </c>
      <c r="L167" s="70">
        <v>44635</v>
      </c>
    </row>
    <row r="168" spans="1:12" x14ac:dyDescent="0.2">
      <c r="A168" s="57" t="s">
        <v>59</v>
      </c>
      <c r="B168" s="57">
        <v>2022</v>
      </c>
      <c r="C168" s="57">
        <v>1</v>
      </c>
      <c r="D168" s="57">
        <v>0</v>
      </c>
      <c r="F168" s="57">
        <v>1.1719999999999999</v>
      </c>
      <c r="G168" s="57">
        <v>0.56699999999999995</v>
      </c>
      <c r="H168" s="57">
        <v>0.108</v>
      </c>
      <c r="I168" s="57">
        <v>4.5999999999999999E-2</v>
      </c>
      <c r="J168" s="57">
        <v>2.0099999999999998</v>
      </c>
      <c r="K168" s="33">
        <f>AVERAGE(1.4,1.22,1.17,1.33)</f>
        <v>1.28</v>
      </c>
      <c r="L168" s="70">
        <v>44635</v>
      </c>
    </row>
    <row r="169" spans="1:12" x14ac:dyDescent="0.2">
      <c r="A169" s="57" t="s">
        <v>159</v>
      </c>
      <c r="B169" s="57">
        <v>2005</v>
      </c>
      <c r="C169" s="57">
        <v>3</v>
      </c>
      <c r="D169" s="57">
        <v>0</v>
      </c>
      <c r="F169" s="57">
        <v>1.4850000000000001</v>
      </c>
      <c r="G169" s="57">
        <v>0.624</v>
      </c>
      <c r="H169" s="57">
        <v>0.184</v>
      </c>
      <c r="I169" s="57">
        <v>7.1999999999999995E-2</v>
      </c>
      <c r="J169" s="57">
        <v>3.75</v>
      </c>
      <c r="K169" s="33">
        <f>AVERAGE(1.24,1.38,1.52,1.34)</f>
        <v>1.37</v>
      </c>
      <c r="L169" s="70">
        <v>44635</v>
      </c>
    </row>
    <row r="170" spans="1:12" x14ac:dyDescent="0.2">
      <c r="A170" s="57" t="s">
        <v>59</v>
      </c>
      <c r="B170" s="57">
        <v>2345</v>
      </c>
      <c r="C170" s="57">
        <v>3</v>
      </c>
      <c r="D170" s="57">
        <v>1</v>
      </c>
      <c r="E170" s="57" t="s">
        <v>160</v>
      </c>
      <c r="F170" s="57">
        <v>1.7549999999999999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2.0725000000000002</v>
      </c>
      <c r="L170" s="70">
        <v>44635</v>
      </c>
    </row>
    <row r="171" spans="1:12" x14ac:dyDescent="0.2">
      <c r="A171" s="57" t="s">
        <v>59</v>
      </c>
      <c r="B171" s="57">
        <v>2093</v>
      </c>
      <c r="C171" s="57">
        <v>1</v>
      </c>
      <c r="D171" s="57">
        <v>1</v>
      </c>
      <c r="F171" s="57">
        <v>1.357</v>
      </c>
      <c r="G171" s="57">
        <v>0.80600000000000005</v>
      </c>
      <c r="H171" s="57">
        <v>0.17399999999999999</v>
      </c>
      <c r="I171" s="57">
        <v>9.2999999999999999E-2</v>
      </c>
      <c r="J171" s="57">
        <v>3.24</v>
      </c>
      <c r="K171" s="33">
        <f>AVERAGE(1.74,1.51,1.45,1.63)</f>
        <v>1.5825</v>
      </c>
      <c r="L171" s="70">
        <v>44635</v>
      </c>
    </row>
    <row r="172" spans="1:12" x14ac:dyDescent="0.2">
      <c r="A172" s="57" t="s">
        <v>159</v>
      </c>
      <c r="B172" s="57">
        <v>2004</v>
      </c>
      <c r="C172" s="57">
        <v>1</v>
      </c>
      <c r="D172" s="57">
        <v>0</v>
      </c>
      <c r="F172" s="57">
        <v>0.65600000000000003</v>
      </c>
      <c r="G172" s="57">
        <v>0.23799999999999999</v>
      </c>
      <c r="H172" s="57">
        <v>0.129</v>
      </c>
      <c r="I172" s="57">
        <v>4.2999999999999997E-2</v>
      </c>
      <c r="J172" s="57">
        <v>3.55</v>
      </c>
      <c r="K172" s="33">
        <f>AVERAGE(1.37,1.19,1.04,1.24)</f>
        <v>1.21</v>
      </c>
      <c r="L172" s="70">
        <v>44635</v>
      </c>
    </row>
    <row r="173" spans="1:12" x14ac:dyDescent="0.2">
      <c r="A173" s="57" t="s">
        <v>59</v>
      </c>
      <c r="B173" s="57">
        <v>2345</v>
      </c>
      <c r="C173" s="57">
        <v>2</v>
      </c>
      <c r="D173" s="57">
        <v>1</v>
      </c>
      <c r="E173" s="57" t="s">
        <v>160</v>
      </c>
      <c r="F173" s="57">
        <v>1.252</v>
      </c>
      <c r="G173" s="57">
        <v>0.76300000000000001</v>
      </c>
      <c r="H173" s="57">
        <v>0.153</v>
      </c>
      <c r="I173" s="57">
        <v>8.7999999999999995E-2</v>
      </c>
      <c r="J173" s="57">
        <v>5.39</v>
      </c>
      <c r="K173" s="33">
        <f>AVERAGE(1.56,1.52,1.73,1.57)</f>
        <v>1.5950000000000002</v>
      </c>
      <c r="L173" s="70">
        <v>44635</v>
      </c>
    </row>
    <row r="174" spans="1:12" x14ac:dyDescent="0.2">
      <c r="A174" s="57" t="s">
        <v>159</v>
      </c>
      <c r="B174" s="57">
        <v>2381</v>
      </c>
      <c r="C174" s="57">
        <v>3</v>
      </c>
      <c r="D174" s="57">
        <v>0</v>
      </c>
      <c r="F174" s="57">
        <v>0.90500000000000003</v>
      </c>
      <c r="G174" s="57">
        <v>0.36499999999999999</v>
      </c>
      <c r="H174" s="57">
        <v>4.1000000000000002E-2</v>
      </c>
      <c r="I174" s="57">
        <v>1.4999999999999999E-2</v>
      </c>
      <c r="J174" s="57">
        <v>0.85</v>
      </c>
      <c r="K174" s="57" t="s">
        <v>60</v>
      </c>
      <c r="L174" s="70">
        <v>44635</v>
      </c>
    </row>
    <row r="175" spans="1:12" x14ac:dyDescent="0.2">
      <c r="A175" s="57" t="s">
        <v>159</v>
      </c>
      <c r="B175" s="57">
        <v>2021</v>
      </c>
      <c r="C175" s="57">
        <v>3</v>
      </c>
      <c r="D175" s="57">
        <v>0</v>
      </c>
      <c r="F175" s="57">
        <v>0.79300000000000004</v>
      </c>
      <c r="G175" s="57">
        <v>0.377</v>
      </c>
      <c r="H175" s="57">
        <v>6.0999999999999999E-2</v>
      </c>
      <c r="I175" s="57">
        <v>2.5000000000000001E-2</v>
      </c>
      <c r="J175" s="57">
        <v>1.48</v>
      </c>
      <c r="K175" s="57" t="s">
        <v>60</v>
      </c>
      <c r="L175" s="70">
        <v>44635</v>
      </c>
    </row>
    <row r="176" spans="1:12" x14ac:dyDescent="0.2">
      <c r="A176" s="57" t="s">
        <v>159</v>
      </c>
      <c r="B176" s="57">
        <v>2021</v>
      </c>
      <c r="C176" s="57">
        <v>3</v>
      </c>
      <c r="D176" s="57">
        <v>0</v>
      </c>
      <c r="F176" s="57">
        <v>0.79300000000000004</v>
      </c>
      <c r="G176" s="57">
        <v>0.377</v>
      </c>
      <c r="H176" s="57">
        <v>6.0999999999999999E-2</v>
      </c>
      <c r="I176" s="57">
        <v>2.5000000000000001E-2</v>
      </c>
      <c r="J176" s="57">
        <v>1.48</v>
      </c>
      <c r="K176" s="57" t="s">
        <v>60</v>
      </c>
      <c r="L176" s="70">
        <v>44635</v>
      </c>
    </row>
    <row r="177" spans="1:12" x14ac:dyDescent="0.2">
      <c r="A177" s="57" t="s">
        <v>159</v>
      </c>
      <c r="B177" s="57">
        <v>2384</v>
      </c>
      <c r="C177" s="57">
        <v>1</v>
      </c>
      <c r="D177" s="57">
        <v>0</v>
      </c>
      <c r="F177" s="57">
        <v>0.129</v>
      </c>
      <c r="G177" s="57">
        <v>0.114</v>
      </c>
      <c r="H177" s="57">
        <v>1.9E-2</v>
      </c>
      <c r="I177" s="57">
        <v>7.0000000000000001E-3</v>
      </c>
      <c r="J177" s="57">
        <v>0.77</v>
      </c>
      <c r="K177" s="57" t="s">
        <v>60</v>
      </c>
      <c r="L177" s="70">
        <v>44635</v>
      </c>
    </row>
    <row r="178" spans="1:12" x14ac:dyDescent="0.2">
      <c r="A178" s="57" t="s">
        <v>159</v>
      </c>
      <c r="B178" s="57">
        <v>2007</v>
      </c>
      <c r="C178" s="57">
        <v>2</v>
      </c>
      <c r="D178" s="57">
        <v>0</v>
      </c>
      <c r="F178" s="57">
        <v>0.52900000000000003</v>
      </c>
      <c r="G178" s="57">
        <v>0.245</v>
      </c>
      <c r="H178" s="57">
        <v>2.7E-2</v>
      </c>
      <c r="I178" s="57">
        <v>1.0999999999999999E-2</v>
      </c>
      <c r="J178" s="57">
        <v>0.99</v>
      </c>
      <c r="K178" s="33">
        <f>AVERAGE(0.59,0.68,0.55,0.6)</f>
        <v>0.60499999999999998</v>
      </c>
      <c r="L178" s="70">
        <v>44635</v>
      </c>
    </row>
    <row r="179" spans="1:12" x14ac:dyDescent="0.2">
      <c r="A179" s="57" t="s">
        <v>59</v>
      </c>
      <c r="B179" s="57">
        <v>2092</v>
      </c>
      <c r="C179" s="57">
        <v>2</v>
      </c>
      <c r="D179" s="57">
        <v>1</v>
      </c>
      <c r="F179" s="57">
        <v>0.44700000000000001</v>
      </c>
      <c r="G179" s="57">
        <v>0.27200000000000002</v>
      </c>
      <c r="H179" s="57">
        <v>4.9000000000000002E-2</v>
      </c>
      <c r="I179" s="57">
        <v>2.7E-2</v>
      </c>
      <c r="J179" s="57">
        <v>1.6</v>
      </c>
      <c r="K179" s="33">
        <f>AVERAGE(2.22,1.19,1.19,1.25)</f>
        <v>1.4624999999999999</v>
      </c>
      <c r="L179" s="70">
        <v>44635</v>
      </c>
    </row>
    <row r="180" spans="1:12" x14ac:dyDescent="0.2">
      <c r="A180" s="57" t="s">
        <v>159</v>
      </c>
      <c r="B180" s="57">
        <v>2005</v>
      </c>
      <c r="C180" s="57">
        <v>2</v>
      </c>
      <c r="D180" s="57">
        <v>0</v>
      </c>
      <c r="F180" s="57">
        <v>2.1429999999999998</v>
      </c>
      <c r="G180" s="57">
        <v>0.89300000000000002</v>
      </c>
      <c r="H180" s="57">
        <v>0.27500000000000002</v>
      </c>
      <c r="I180" s="57">
        <v>0.104</v>
      </c>
      <c r="J180" s="57">
        <v>4.21</v>
      </c>
      <c r="K180" s="33">
        <f>AVERAGE(1.57,1.81,1.6,1.75)</f>
        <v>1.6825000000000001</v>
      </c>
      <c r="L180" s="70">
        <v>44635</v>
      </c>
    </row>
    <row r="181" spans="1:12" x14ac:dyDescent="0.2">
      <c r="A181" s="57" t="s">
        <v>59</v>
      </c>
      <c r="B181" s="57">
        <v>2089</v>
      </c>
      <c r="C181" s="57">
        <v>2</v>
      </c>
      <c r="D181" s="57">
        <v>0</v>
      </c>
      <c r="E181" s="57" t="s">
        <v>161</v>
      </c>
      <c r="F181" s="57">
        <v>0.56100000000000005</v>
      </c>
      <c r="G181" s="57">
        <v>0.32500000000000001</v>
      </c>
      <c r="H181" s="57">
        <v>5.6000000000000001E-2</v>
      </c>
      <c r="I181" s="57">
        <v>3.1E-2</v>
      </c>
      <c r="J181" s="57">
        <v>2.82</v>
      </c>
      <c r="K181" s="33">
        <f>AVERAGE(1.02,1.23,1.29,1.21)</f>
        <v>1.1875</v>
      </c>
      <c r="L181" s="70">
        <v>44635</v>
      </c>
    </row>
    <row r="182" spans="1:12" x14ac:dyDescent="0.2">
      <c r="A182" s="57" t="s">
        <v>59</v>
      </c>
      <c r="B182" s="57">
        <v>2377</v>
      </c>
      <c r="C182" s="57">
        <v>2</v>
      </c>
      <c r="D182" s="57">
        <v>1</v>
      </c>
      <c r="F182" s="57">
        <v>1.6459999999999999</v>
      </c>
      <c r="G182" s="57">
        <v>1.0049999999999999</v>
      </c>
      <c r="H182" s="57">
        <v>0.27400000000000002</v>
      </c>
      <c r="I182" s="57">
        <v>0.152</v>
      </c>
      <c r="J182" s="57">
        <v>5.83</v>
      </c>
      <c r="K182" s="33">
        <f>AVERAGE(1.85,1.96,1.9,1.98)</f>
        <v>1.9224999999999999</v>
      </c>
      <c r="L182" s="70">
        <v>44635</v>
      </c>
    </row>
    <row r="183" spans="1:12" x14ac:dyDescent="0.2">
      <c r="A183" s="57" t="s">
        <v>59</v>
      </c>
      <c r="B183" s="57">
        <v>2345</v>
      </c>
      <c r="C183" s="57">
        <v>2</v>
      </c>
      <c r="D183" s="57">
        <v>1</v>
      </c>
      <c r="E183" s="57" t="s">
        <v>161</v>
      </c>
      <c r="F183" s="57">
        <v>1.605</v>
      </c>
      <c r="G183" s="57">
        <v>0.98899999999999999</v>
      </c>
      <c r="H183" s="57">
        <v>0.121</v>
      </c>
      <c r="I183" s="57">
        <v>6.6000000000000003E-2</v>
      </c>
      <c r="J183" s="57">
        <v>3.33</v>
      </c>
      <c r="K183" s="33">
        <f>AVERAGE(1.46,1.53,1.6,1.49)</f>
        <v>1.52</v>
      </c>
      <c r="L183" s="70">
        <v>44635</v>
      </c>
    </row>
    <row r="184" spans="1:12" x14ac:dyDescent="0.2">
      <c r="A184" s="57" t="s">
        <v>159</v>
      </c>
      <c r="B184" s="57">
        <v>2024</v>
      </c>
      <c r="C184" s="57">
        <v>2</v>
      </c>
      <c r="D184" s="57">
        <v>0</v>
      </c>
      <c r="F184" s="57">
        <v>1.6020000000000001</v>
      </c>
      <c r="G184" s="57">
        <v>0.65300000000000002</v>
      </c>
      <c r="H184" s="57">
        <v>0.14599999999999999</v>
      </c>
      <c r="I184" s="57">
        <v>5.7000000000000002E-2</v>
      </c>
      <c r="J184" s="57">
        <v>2.87</v>
      </c>
      <c r="K184" s="33">
        <f>AVERAGE(1.15,1.31,1.43,1.47)</f>
        <v>1.3399999999999999</v>
      </c>
      <c r="L184" s="70">
        <v>44635</v>
      </c>
    </row>
    <row r="185" spans="1:12" x14ac:dyDescent="0.2">
      <c r="A185" s="57" t="s">
        <v>159</v>
      </c>
      <c r="B185" s="57">
        <v>2382</v>
      </c>
      <c r="C185" s="57">
        <v>1</v>
      </c>
      <c r="D185" s="57">
        <v>0</v>
      </c>
      <c r="F185" s="57">
        <v>1.272</v>
      </c>
      <c r="G185" s="57">
        <v>0.56200000000000006</v>
      </c>
      <c r="H185" s="57">
        <v>0.27900000000000003</v>
      </c>
      <c r="I185" s="57">
        <v>0.106</v>
      </c>
      <c r="J185" s="57">
        <v>6.41</v>
      </c>
      <c r="K185" s="33">
        <f>AVERAGE(1.23,1.24,1.42,1.33)</f>
        <v>1.3049999999999999</v>
      </c>
      <c r="L185" s="70">
        <v>44635</v>
      </c>
    </row>
    <row r="186" spans="1:12" x14ac:dyDescent="0.2">
      <c r="A186" s="57" t="s">
        <v>59</v>
      </c>
      <c r="B186" s="57">
        <v>2380</v>
      </c>
      <c r="C186" s="57">
        <v>3</v>
      </c>
      <c r="D186" s="57">
        <v>1</v>
      </c>
      <c r="F186" s="57">
        <v>0.66800000000000004</v>
      </c>
      <c r="G186" s="57">
        <v>0.40699999999999997</v>
      </c>
      <c r="H186" s="57">
        <v>7.5999999999999998E-2</v>
      </c>
      <c r="I186" s="57">
        <v>4.2999999999999997E-2</v>
      </c>
      <c r="J186" s="57">
        <v>1.82</v>
      </c>
      <c r="K186" s="33">
        <f>AVERAGE(1.07,1.08,1.23,1.07)</f>
        <v>1.1125</v>
      </c>
      <c r="L186" s="70">
        <v>44635</v>
      </c>
    </row>
    <row r="187" spans="1:12" x14ac:dyDescent="0.2">
      <c r="A187" s="57" t="s">
        <v>159</v>
      </c>
      <c r="B187" s="57">
        <v>2021</v>
      </c>
      <c r="C187" s="57">
        <v>2</v>
      </c>
      <c r="D187" s="57">
        <v>0</v>
      </c>
      <c r="F187" s="57">
        <v>0.82</v>
      </c>
      <c r="G187" s="57">
        <v>0.39800000000000002</v>
      </c>
      <c r="H187" s="57">
        <v>8.8999999999999996E-2</v>
      </c>
      <c r="I187" s="57">
        <v>3.7999999999999999E-2</v>
      </c>
      <c r="J187" s="57">
        <v>2.0499999999999998</v>
      </c>
      <c r="K187" s="57" t="s">
        <v>60</v>
      </c>
      <c r="L187" s="70">
        <v>44635</v>
      </c>
    </row>
    <row r="188" spans="1:12" x14ac:dyDescent="0.2">
      <c r="A188" s="57" t="s">
        <v>159</v>
      </c>
      <c r="B188" s="57">
        <v>2004</v>
      </c>
      <c r="C188" s="57">
        <v>3</v>
      </c>
      <c r="D188" s="57">
        <v>0</v>
      </c>
      <c r="F188" s="57">
        <v>0.50700000000000001</v>
      </c>
      <c r="G188" s="57">
        <v>0.193</v>
      </c>
      <c r="H188" s="57">
        <v>5.8999999999999997E-2</v>
      </c>
      <c r="I188" s="57">
        <v>2.1999999999999999E-2</v>
      </c>
      <c r="J188" s="57">
        <v>1.67</v>
      </c>
      <c r="K188" s="33">
        <f>AVERAGE(1.14,1.02,1.1,0.94)</f>
        <v>1.05</v>
      </c>
      <c r="L188" s="70">
        <v>44635</v>
      </c>
    </row>
    <row r="189" spans="1:12" x14ac:dyDescent="0.2">
      <c r="A189" s="57" t="s">
        <v>59</v>
      </c>
      <c r="B189" s="57">
        <v>2331</v>
      </c>
      <c r="C189" s="57">
        <v>3</v>
      </c>
      <c r="D189" s="57">
        <v>0</v>
      </c>
      <c r="F189" s="57">
        <v>0.48499999999999999</v>
      </c>
      <c r="G189" s="57">
        <v>0.193</v>
      </c>
      <c r="H189" s="57">
        <v>0.10199999999999999</v>
      </c>
      <c r="I189" s="57">
        <v>3.6999999999999998E-2</v>
      </c>
      <c r="J189" s="57">
        <v>3.6</v>
      </c>
      <c r="K189" s="33">
        <f>AVERAGE(1.13,1.03,0.83,0.86)</f>
        <v>0.96250000000000002</v>
      </c>
      <c r="L189" s="70">
        <v>44635</v>
      </c>
    </row>
    <row r="190" spans="1:12" x14ac:dyDescent="0.2">
      <c r="A190" s="57" t="s">
        <v>59</v>
      </c>
      <c r="B190" s="57">
        <v>2089</v>
      </c>
      <c r="C190" s="57">
        <v>4</v>
      </c>
      <c r="D190" s="57">
        <v>1</v>
      </c>
      <c r="F190" s="57">
        <v>1.1519999999999999</v>
      </c>
      <c r="G190" s="57">
        <v>0.70099999999999996</v>
      </c>
      <c r="H190" s="57">
        <v>0.27100000000000002</v>
      </c>
      <c r="I190" s="57">
        <v>0.156</v>
      </c>
      <c r="J190" s="57">
        <v>6.52</v>
      </c>
      <c r="K190" s="33">
        <f>AVERAGE(1.71,1.77,1.72,1.7)</f>
        <v>1.7250000000000001</v>
      </c>
      <c r="L190" s="70">
        <v>44635</v>
      </c>
    </row>
    <row r="191" spans="1:12" x14ac:dyDescent="0.2">
      <c r="A191" s="57" t="s">
        <v>159</v>
      </c>
      <c r="B191" s="57">
        <v>2008</v>
      </c>
      <c r="C191" s="57">
        <v>2</v>
      </c>
      <c r="D191" s="57">
        <v>0</v>
      </c>
      <c r="F191" s="57">
        <v>0.80200000000000005</v>
      </c>
      <c r="G191" s="57">
        <v>0.29099999999999998</v>
      </c>
      <c r="H191" s="57">
        <v>3.3000000000000002E-2</v>
      </c>
      <c r="I191" s="57">
        <v>1.2E-2</v>
      </c>
      <c r="J191" s="57">
        <v>1.1599999999999999</v>
      </c>
      <c r="K191" s="57" t="s">
        <v>60</v>
      </c>
      <c r="L191" s="70">
        <v>44635</v>
      </c>
    </row>
    <row r="192" spans="1:12" x14ac:dyDescent="0.2">
      <c r="A192" s="57" t="s">
        <v>59</v>
      </c>
      <c r="B192" s="57">
        <v>2331</v>
      </c>
      <c r="C192" s="57">
        <v>3</v>
      </c>
      <c r="D192" s="57">
        <v>1</v>
      </c>
      <c r="F192" s="57">
        <v>1.048</v>
      </c>
      <c r="G192" s="57">
        <v>0.64200000000000002</v>
      </c>
      <c r="H192" s="57">
        <v>0.20599999999999999</v>
      </c>
      <c r="I192" s="57">
        <v>0.111</v>
      </c>
      <c r="J192" s="57">
        <v>4.83</v>
      </c>
      <c r="K192" s="33">
        <f>AVERAGE(1.39,1.45,1.51,1.48)</f>
        <v>1.4575</v>
      </c>
      <c r="L192" s="70">
        <v>44635</v>
      </c>
    </row>
    <row r="193" spans="1:12" x14ac:dyDescent="0.2">
      <c r="A193" s="57" t="s">
        <v>159</v>
      </c>
      <c r="B193" s="57">
        <v>2024</v>
      </c>
      <c r="C193" s="57">
        <v>3</v>
      </c>
      <c r="D193" s="57">
        <v>0</v>
      </c>
      <c r="F193" s="57">
        <v>1.1279999999999999</v>
      </c>
      <c r="G193" s="57">
        <v>0.43</v>
      </c>
      <c r="H193" s="57">
        <v>0.26</v>
      </c>
      <c r="I193" s="57">
        <v>9.4E-2</v>
      </c>
      <c r="J193" s="57">
        <v>5.23</v>
      </c>
      <c r="K193" s="33">
        <f>AVERAGE(1.25,1.88,1.62,1.54)</f>
        <v>1.5725</v>
      </c>
      <c r="L193" s="70">
        <v>44635</v>
      </c>
    </row>
    <row r="194" spans="1:12" x14ac:dyDescent="0.2">
      <c r="A194" s="57" t="s">
        <v>59</v>
      </c>
      <c r="B194" s="57">
        <v>2093</v>
      </c>
      <c r="C194" s="57">
        <v>3</v>
      </c>
      <c r="D194" s="57">
        <v>1</v>
      </c>
      <c r="F194" s="57">
        <v>1.3839999999999999</v>
      </c>
      <c r="G194" s="57">
        <v>0.82199999999999995</v>
      </c>
      <c r="H194" s="57">
        <v>0.12</v>
      </c>
      <c r="I194" s="57">
        <v>6.7000000000000004E-2</v>
      </c>
      <c r="J194" s="57">
        <v>2.58</v>
      </c>
      <c r="K194" s="33">
        <f>AVERAGE(1.43,1.45,1.38,1.41)</f>
        <v>1.4175</v>
      </c>
      <c r="L194" s="70">
        <v>44635</v>
      </c>
    </row>
    <row r="195" spans="1:12" x14ac:dyDescent="0.2">
      <c r="A195" s="57" t="s">
        <v>59</v>
      </c>
      <c r="B195" s="57">
        <v>2376</v>
      </c>
      <c r="C195" s="57">
        <v>3</v>
      </c>
      <c r="D195" s="57">
        <v>1</v>
      </c>
      <c r="F195" s="57">
        <v>2.0619999999999998</v>
      </c>
      <c r="G195" s="57">
        <v>1.1919999999999999</v>
      </c>
      <c r="H195" s="57">
        <v>0.254</v>
      </c>
      <c r="I195" s="57">
        <v>0.14000000000000001</v>
      </c>
      <c r="J195" s="57">
        <v>15.29</v>
      </c>
      <c r="K195" s="33">
        <f>AVERAGE(1.5,1.52,1.6,1.72)</f>
        <v>1.585</v>
      </c>
      <c r="L195" s="70">
        <v>44650</v>
      </c>
    </row>
    <row r="196" spans="1:12" x14ac:dyDescent="0.2">
      <c r="A196" s="57" t="s">
        <v>59</v>
      </c>
      <c r="B196" s="57">
        <v>2377</v>
      </c>
      <c r="C196" s="57">
        <v>2</v>
      </c>
      <c r="D196" s="57">
        <v>1</v>
      </c>
      <c r="F196" s="57">
        <v>1.456</v>
      </c>
      <c r="G196" s="57">
        <v>0.85499999999999998</v>
      </c>
      <c r="H196" s="57">
        <v>0.82499999999999996</v>
      </c>
      <c r="I196" s="57">
        <v>0.372</v>
      </c>
      <c r="J196" s="57">
        <v>8.84</v>
      </c>
      <c r="K196" s="33">
        <f>AVERAGE(2.13,2.14,2.39,2.13)</f>
        <v>2.1974999999999998</v>
      </c>
      <c r="L196" s="70">
        <v>44650</v>
      </c>
    </row>
    <row r="197" spans="1:12" x14ac:dyDescent="0.2">
      <c r="A197" s="57" t="s">
        <v>159</v>
      </c>
      <c r="B197" s="57">
        <v>2009</v>
      </c>
      <c r="C197" s="57">
        <v>6</v>
      </c>
      <c r="D197" s="57">
        <v>0</v>
      </c>
      <c r="F197" s="57">
        <v>0.40899999999999997</v>
      </c>
      <c r="G197" s="57">
        <v>9.7000000000000003E-2</v>
      </c>
      <c r="H197" s="57">
        <v>0.04</v>
      </c>
      <c r="I197" s="57">
        <v>1.2999999999999999E-2</v>
      </c>
      <c r="J197" s="57">
        <v>1.06</v>
      </c>
      <c r="K197" s="33">
        <f>AVERAGE(0.75,0.86,0.7,0.68)</f>
        <v>0.74749999999999994</v>
      </c>
      <c r="L197" s="70">
        <v>44650</v>
      </c>
    </row>
    <row r="198" spans="1:12" x14ac:dyDescent="0.2">
      <c r="A198" s="57" t="s">
        <v>159</v>
      </c>
      <c r="B198" s="57">
        <v>2372</v>
      </c>
      <c r="C198" s="57">
        <v>1</v>
      </c>
      <c r="D198" s="57">
        <v>0</v>
      </c>
      <c r="F198" s="57">
        <v>0.58499999999999996</v>
      </c>
      <c r="G198" s="57">
        <v>0.17399999999999999</v>
      </c>
      <c r="H198" s="57">
        <v>5.8999999999999997E-2</v>
      </c>
      <c r="I198" s="57">
        <v>1.9E-2</v>
      </c>
      <c r="J198" s="57">
        <v>1.31</v>
      </c>
      <c r="K198" s="57" t="s">
        <v>60</v>
      </c>
      <c r="L198" s="70">
        <v>44650</v>
      </c>
    </row>
    <row r="199" spans="1:12" x14ac:dyDescent="0.2">
      <c r="A199" s="57" t="s">
        <v>159</v>
      </c>
      <c r="B199" s="57">
        <v>2371</v>
      </c>
      <c r="C199" s="57">
        <v>3</v>
      </c>
      <c r="D199" s="57">
        <v>0</v>
      </c>
      <c r="F199" s="57">
        <v>0.38900000000000001</v>
      </c>
      <c r="G199" s="57">
        <v>0.111</v>
      </c>
      <c r="H199" s="57">
        <v>3.6999999999999998E-2</v>
      </c>
      <c r="I199" s="57">
        <v>1.2E-2</v>
      </c>
      <c r="J199" s="57">
        <v>1.52</v>
      </c>
      <c r="K199" s="33">
        <f>AVERAGE(0.6,0.73,0.71,0.76)</f>
        <v>0.7</v>
      </c>
      <c r="L199" s="70">
        <v>44650</v>
      </c>
    </row>
    <row r="200" spans="1:12" x14ac:dyDescent="0.2">
      <c r="A200" s="57" t="s">
        <v>159</v>
      </c>
      <c r="B200" s="57">
        <v>2382</v>
      </c>
      <c r="C200" s="57">
        <v>1</v>
      </c>
      <c r="D200" s="57">
        <v>0</v>
      </c>
      <c r="F200" s="57">
        <v>1.004</v>
      </c>
      <c r="G200" s="57">
        <v>0.499</v>
      </c>
      <c r="H200" s="57">
        <v>0.16700000000000001</v>
      </c>
      <c r="I200" s="57">
        <v>7.4999999999999997E-2</v>
      </c>
      <c r="J200" s="57">
        <v>4.24</v>
      </c>
      <c r="K200" s="33">
        <f>AVERAGE(1.18,1.18,0.96,1.11)</f>
        <v>1.1074999999999999</v>
      </c>
      <c r="L200" s="70">
        <v>44650</v>
      </c>
    </row>
    <row r="201" spans="1:12" x14ac:dyDescent="0.2">
      <c r="A201" s="57" t="s">
        <v>159</v>
      </c>
      <c r="B201" s="57">
        <v>2020</v>
      </c>
      <c r="C201" s="57">
        <v>2</v>
      </c>
      <c r="D201" s="57">
        <v>0</v>
      </c>
      <c r="F201" s="57">
        <v>1.5149999999999999</v>
      </c>
      <c r="G201" s="57">
        <v>0.69</v>
      </c>
      <c r="H201" s="57">
        <v>0.28100000000000003</v>
      </c>
      <c r="I201" s="57">
        <v>0.104</v>
      </c>
      <c r="J201" s="57">
        <v>3.19</v>
      </c>
      <c r="K201" s="33">
        <f>AVERAGE(1.76,1.65,1.63,1.61)</f>
        <v>1.6625000000000001</v>
      </c>
      <c r="L201" s="70">
        <v>44650</v>
      </c>
    </row>
    <row r="202" spans="1:12" x14ac:dyDescent="0.2">
      <c r="A202" s="57" t="s">
        <v>59</v>
      </c>
      <c r="B202" s="57">
        <v>2331</v>
      </c>
      <c r="C202" s="57">
        <v>1</v>
      </c>
      <c r="D202" s="57">
        <v>1</v>
      </c>
      <c r="F202" s="57">
        <v>1.1679999999999999</v>
      </c>
      <c r="G202" s="57">
        <v>0.97699999999999998</v>
      </c>
      <c r="H202" s="57">
        <v>0.29599999999999999</v>
      </c>
      <c r="I202" s="57">
        <v>0.16800000000000001</v>
      </c>
      <c r="J202" s="57">
        <v>7.75</v>
      </c>
      <c r="K202" s="33">
        <f>AVERAGE(1.72,1.53,1.73,1.76)</f>
        <v>1.6850000000000001</v>
      </c>
      <c r="L202" s="70">
        <v>44650</v>
      </c>
    </row>
    <row r="203" spans="1:12" x14ac:dyDescent="0.2">
      <c r="A203" s="57" t="s">
        <v>159</v>
      </c>
      <c r="B203" s="57">
        <v>2379</v>
      </c>
      <c r="C203" s="57">
        <v>3</v>
      </c>
      <c r="D203" s="57">
        <v>0</v>
      </c>
      <c r="F203" s="57">
        <v>0.36199999999999999</v>
      </c>
      <c r="G203" s="57">
        <v>0.182</v>
      </c>
      <c r="H203" s="57">
        <v>0.02</v>
      </c>
      <c r="I203" s="57">
        <v>8.0000000000000002E-3</v>
      </c>
      <c r="J203" s="57">
        <v>0.78</v>
      </c>
      <c r="K203" s="57" t="s">
        <v>60</v>
      </c>
      <c r="L203" s="70">
        <v>44650</v>
      </c>
    </row>
    <row r="204" spans="1:12" x14ac:dyDescent="0.2">
      <c r="A204" s="57" t="s">
        <v>159</v>
      </c>
      <c r="B204" s="57">
        <v>2360</v>
      </c>
      <c r="C204" s="57">
        <v>3</v>
      </c>
      <c r="D204" s="57">
        <v>0</v>
      </c>
      <c r="F204" s="57">
        <v>1.0229999999999999</v>
      </c>
      <c r="G204" s="57">
        <v>0.44500000000000001</v>
      </c>
      <c r="H204" s="57">
        <v>8.5000000000000006E-2</v>
      </c>
      <c r="I204" s="57">
        <v>3.4000000000000002E-2</v>
      </c>
      <c r="J204" s="57">
        <v>2.08</v>
      </c>
      <c r="K204" s="33">
        <f>AVERAGE(1.23,0.97,1.13,1.22)</f>
        <v>1.1375</v>
      </c>
      <c r="L204" s="70">
        <v>44650</v>
      </c>
    </row>
    <row r="205" spans="1:12" x14ac:dyDescent="0.2">
      <c r="A205" s="57" t="s">
        <v>159</v>
      </c>
      <c r="B205" s="57">
        <v>2384</v>
      </c>
      <c r="C205" s="57">
        <v>3</v>
      </c>
      <c r="D205" s="57">
        <v>0</v>
      </c>
      <c r="F205" s="57">
        <v>0.39200000000000002</v>
      </c>
      <c r="G205" s="57">
        <v>0.184</v>
      </c>
      <c r="H205" s="57">
        <v>2.3E-2</v>
      </c>
      <c r="I205" s="57">
        <v>8.9999999999999993E-3</v>
      </c>
      <c r="J205" s="57">
        <v>0.87</v>
      </c>
      <c r="K205" s="57" t="s">
        <v>60</v>
      </c>
      <c r="L205" s="70">
        <v>44650</v>
      </c>
    </row>
    <row r="206" spans="1:12" x14ac:dyDescent="0.2">
      <c r="A206" s="57" t="s">
        <v>59</v>
      </c>
      <c r="B206" s="57">
        <v>2380</v>
      </c>
      <c r="C206" s="57">
        <v>2</v>
      </c>
      <c r="D206" s="57">
        <v>0</v>
      </c>
      <c r="F206" s="57">
        <v>1.2889999999999999</v>
      </c>
      <c r="G206" s="57">
        <v>0.60299999999999998</v>
      </c>
      <c r="H206" s="57">
        <v>5.1999999999999998E-2</v>
      </c>
      <c r="I206" s="57">
        <v>0.02</v>
      </c>
      <c r="J206" s="57">
        <v>1.42</v>
      </c>
      <c r="K206" s="33">
        <f>AVERAGE(0.75,0.67,0.6,0.57)</f>
        <v>0.64749999999999996</v>
      </c>
      <c r="L206" s="70">
        <v>44650</v>
      </c>
    </row>
    <row r="207" spans="1:12" x14ac:dyDescent="0.2">
      <c r="A207" s="57" t="s">
        <v>59</v>
      </c>
      <c r="B207" s="57">
        <v>2377</v>
      </c>
      <c r="C207" s="57">
        <v>3</v>
      </c>
      <c r="D207" s="57">
        <v>1</v>
      </c>
      <c r="F207" s="57">
        <v>2.5779999999999998</v>
      </c>
      <c r="G207" s="57">
        <v>1.468</v>
      </c>
      <c r="H207" s="57">
        <v>0.61899999999999999</v>
      </c>
      <c r="I207" s="57">
        <v>0.33400000000000002</v>
      </c>
      <c r="J207" s="57">
        <v>9.49</v>
      </c>
      <c r="K207" s="33">
        <f>AVERAGE(2.32,1.99,2.16,2.32)</f>
        <v>2.1974999999999998</v>
      </c>
      <c r="L207" s="70">
        <v>44650</v>
      </c>
    </row>
    <row r="208" spans="1:12" x14ac:dyDescent="0.2">
      <c r="A208" s="57" t="s">
        <v>159</v>
      </c>
      <c r="B208" s="57">
        <v>2373</v>
      </c>
      <c r="C208" s="57">
        <v>2</v>
      </c>
      <c r="D208" s="57">
        <v>0</v>
      </c>
      <c r="F208" s="57">
        <v>0.65400000000000003</v>
      </c>
      <c r="G208" s="57">
        <v>0.17699999999999999</v>
      </c>
      <c r="H208" s="57">
        <v>5.0999999999999997E-2</v>
      </c>
      <c r="I208" s="57">
        <v>1.4E-2</v>
      </c>
      <c r="J208" s="57">
        <v>1.08</v>
      </c>
      <c r="K208" s="33">
        <f>AVERAGE(0.89,0.82,1.02,1.27)</f>
        <v>1</v>
      </c>
      <c r="L208" s="70">
        <v>44650</v>
      </c>
    </row>
    <row r="209" spans="1:12" x14ac:dyDescent="0.2">
      <c r="A209" s="57" t="s">
        <v>159</v>
      </c>
      <c r="B209" s="57">
        <v>2383</v>
      </c>
      <c r="C209" s="57">
        <v>1</v>
      </c>
      <c r="D209" s="57">
        <v>0</v>
      </c>
      <c r="F209" s="57">
        <v>0.48799999999999999</v>
      </c>
      <c r="G209" s="57">
        <v>0.23899999999999999</v>
      </c>
      <c r="H209" s="57">
        <v>3.7999999999999999E-2</v>
      </c>
      <c r="I209" s="57">
        <v>1.7000000000000001E-2</v>
      </c>
      <c r="J209" s="57">
        <v>0.9</v>
      </c>
      <c r="K209" s="33">
        <f>AVERAGE(1.04,1.04,0.96,1.02)</f>
        <v>1.0150000000000001</v>
      </c>
      <c r="L209" s="70">
        <v>44650</v>
      </c>
    </row>
    <row r="210" spans="1:12" x14ac:dyDescent="0.2">
      <c r="A210" s="57" t="s">
        <v>59</v>
      </c>
      <c r="B210" s="57">
        <v>2301</v>
      </c>
      <c r="C210" s="57">
        <v>3</v>
      </c>
      <c r="D210" s="57">
        <v>1</v>
      </c>
      <c r="F210" s="57">
        <v>0.77200000000000002</v>
      </c>
      <c r="G210" s="57">
        <v>0.46200000000000002</v>
      </c>
      <c r="H210" s="57">
        <v>0.26700000000000002</v>
      </c>
      <c r="I210" s="57">
        <v>0.151</v>
      </c>
      <c r="J210" s="57">
        <v>6.64</v>
      </c>
      <c r="K210" s="33">
        <f>AVERAGE(1.41,1.42,1.43,1.51)</f>
        <v>1.4424999999999999</v>
      </c>
      <c r="L210" s="70">
        <v>44650</v>
      </c>
    </row>
    <row r="211" spans="1:12" x14ac:dyDescent="0.2">
      <c r="A211" s="57" t="s">
        <v>59</v>
      </c>
      <c r="B211" s="57">
        <v>2376</v>
      </c>
      <c r="C211" s="57">
        <v>1</v>
      </c>
      <c r="D211" s="57">
        <v>1</v>
      </c>
      <c r="F211" s="57">
        <v>4.5789999999999997</v>
      </c>
      <c r="G211" s="57">
        <v>2.427</v>
      </c>
      <c r="H211" s="57">
        <v>0.69899999999999995</v>
      </c>
      <c r="I211" s="57">
        <v>0.37</v>
      </c>
      <c r="J211" s="57">
        <v>7.68</v>
      </c>
      <c r="K211" s="33">
        <f>AVERAGE(2.47,2.49,2.47,2.42)</f>
        <v>2.4625000000000004</v>
      </c>
      <c r="L211" s="70">
        <v>44650</v>
      </c>
    </row>
    <row r="212" spans="1:12" x14ac:dyDescent="0.2">
      <c r="A212" s="57" t="s">
        <v>159</v>
      </c>
      <c r="B212" s="57">
        <v>2371</v>
      </c>
      <c r="C212" s="57">
        <v>1</v>
      </c>
      <c r="D212" s="57">
        <v>0</v>
      </c>
      <c r="F212" s="57">
        <v>0.44900000000000001</v>
      </c>
      <c r="G212" s="57">
        <v>0.126</v>
      </c>
      <c r="H212" s="57">
        <v>2.9000000000000001E-2</v>
      </c>
      <c r="I212" s="57">
        <v>8.9999999999999993E-3</v>
      </c>
      <c r="J212" s="57">
        <v>1.24</v>
      </c>
      <c r="K212" s="33">
        <f>AVERAGE(0.49,0.51,0.46,0.59)</f>
        <v>0.51249999999999996</v>
      </c>
      <c r="L212" s="70">
        <v>44650</v>
      </c>
    </row>
    <row r="213" spans="1:12" x14ac:dyDescent="0.2">
      <c r="A213" s="57" t="s">
        <v>59</v>
      </c>
      <c r="B213" s="57">
        <v>2377</v>
      </c>
      <c r="C213" s="57">
        <v>1</v>
      </c>
      <c r="D213" s="57">
        <v>0</v>
      </c>
      <c r="F213" s="57">
        <v>2.633</v>
      </c>
      <c r="G213" s="57">
        <v>0.86</v>
      </c>
      <c r="H213" s="57">
        <v>0.46899999999999997</v>
      </c>
      <c r="I213" s="57">
        <v>0.14299999999999999</v>
      </c>
      <c r="J213" s="57">
        <v>9.3699999999999992</v>
      </c>
      <c r="K213" s="33">
        <f>AVERAGE(1.52,1.41,1.81,1.62)</f>
        <v>1.59</v>
      </c>
      <c r="L213" s="70">
        <v>44650</v>
      </c>
    </row>
    <row r="214" spans="1:12" x14ac:dyDescent="0.2">
      <c r="A214" s="57" t="s">
        <v>59</v>
      </c>
      <c r="B214" s="57">
        <v>2331</v>
      </c>
      <c r="C214" s="57">
        <v>3</v>
      </c>
      <c r="D214" s="57">
        <v>1</v>
      </c>
      <c r="F214" s="57">
        <v>1.1359999999999999</v>
      </c>
      <c r="G214" s="57">
        <v>0.65900000000000003</v>
      </c>
      <c r="H214" s="57">
        <v>0.156</v>
      </c>
      <c r="I214" s="57">
        <v>8.7999999999999995E-2</v>
      </c>
      <c r="J214" s="57">
        <v>4.87</v>
      </c>
      <c r="K214" s="33">
        <f>AVERAGE(1.21,1.25,1.35,1.1)</f>
        <v>1.2275</v>
      </c>
      <c r="L214" s="70">
        <v>44650</v>
      </c>
    </row>
    <row r="215" spans="1:12" x14ac:dyDescent="0.2">
      <c r="A215" s="57" t="s">
        <v>59</v>
      </c>
      <c r="B215" s="57">
        <v>2301</v>
      </c>
      <c r="C215" s="57">
        <v>2</v>
      </c>
      <c r="D215" s="57">
        <v>1</v>
      </c>
      <c r="F215" s="57">
        <v>1.4530000000000001</v>
      </c>
      <c r="G215" s="57">
        <v>0.86699999999999999</v>
      </c>
      <c r="H215" s="57">
        <v>0.123</v>
      </c>
      <c r="I215" s="57">
        <v>6.5000000000000002E-2</v>
      </c>
      <c r="J215" s="57">
        <v>3.35</v>
      </c>
      <c r="K215" s="33">
        <f>AVERAGE(1.1,1.07,1.21,1.3)</f>
        <v>1.17</v>
      </c>
      <c r="L215" s="70">
        <v>44650</v>
      </c>
    </row>
    <row r="216" spans="1:12" x14ac:dyDescent="0.2">
      <c r="A216" s="57" t="s">
        <v>59</v>
      </c>
      <c r="B216" s="57">
        <v>2354</v>
      </c>
      <c r="C216" s="57">
        <v>1</v>
      </c>
      <c r="D216" s="57">
        <v>1</v>
      </c>
      <c r="F216" s="57">
        <v>2.2799999999999998</v>
      </c>
      <c r="G216" s="57">
        <v>1.2090000000000001</v>
      </c>
      <c r="H216" s="57">
        <v>0.48799999999999999</v>
      </c>
      <c r="I216" s="57">
        <v>0.25700000000000001</v>
      </c>
      <c r="J216" s="57">
        <v>9.2200000000000006</v>
      </c>
      <c r="K216" s="33">
        <f>AVERAGE(2.33,2.36,2.24,2.43)</f>
        <v>2.34</v>
      </c>
      <c r="L216" s="70">
        <v>44650</v>
      </c>
    </row>
    <row r="217" spans="1:12" x14ac:dyDescent="0.2">
      <c r="A217" s="57" t="s">
        <v>59</v>
      </c>
      <c r="B217" s="57">
        <v>2377</v>
      </c>
      <c r="C217" s="57">
        <v>1</v>
      </c>
      <c r="D217" s="57">
        <v>1</v>
      </c>
      <c r="F217" s="57">
        <v>1.3979999999999999</v>
      </c>
      <c r="G217" s="57">
        <v>0.79200000000000004</v>
      </c>
      <c r="H217" s="57">
        <v>0.91</v>
      </c>
      <c r="I217" s="57">
        <v>0.4</v>
      </c>
      <c r="J217" s="57">
        <v>7.78</v>
      </c>
      <c r="K217" s="33">
        <f>AVERAGE(2.25,2.23,2.21,2.3)</f>
        <v>2.2475000000000001</v>
      </c>
      <c r="L217" s="70">
        <v>44650</v>
      </c>
    </row>
    <row r="218" spans="1:12" x14ac:dyDescent="0.2">
      <c r="A218" s="57" t="s">
        <v>59</v>
      </c>
      <c r="B218" s="57">
        <v>2380</v>
      </c>
      <c r="C218" s="57">
        <v>3</v>
      </c>
      <c r="D218" s="57">
        <v>1</v>
      </c>
      <c r="F218" s="57">
        <v>0.65600000000000003</v>
      </c>
      <c r="G218" s="57">
        <v>0.374</v>
      </c>
      <c r="H218" s="57">
        <v>6.7000000000000004E-2</v>
      </c>
      <c r="I218" s="57">
        <v>3.4000000000000002E-2</v>
      </c>
      <c r="J218" s="57">
        <v>1.7</v>
      </c>
      <c r="K218" s="33">
        <f>AVERAGE(1.08,1,0.94,1.21)</f>
        <v>1.0575000000000001</v>
      </c>
      <c r="L218" s="70">
        <v>44650</v>
      </c>
    </row>
    <row r="219" spans="1:12" x14ac:dyDescent="0.2">
      <c r="A219" s="57" t="s">
        <v>59</v>
      </c>
      <c r="B219" s="57">
        <v>2301</v>
      </c>
      <c r="C219" s="57">
        <v>1</v>
      </c>
      <c r="D219" s="57">
        <v>1</v>
      </c>
      <c r="F219" s="57">
        <v>3.3359999999999999</v>
      </c>
      <c r="G219" s="57">
        <v>1.9670000000000001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</v>
      </c>
    </row>
    <row r="220" spans="1:12" x14ac:dyDescent="0.2">
      <c r="A220" s="57" t="s">
        <v>59</v>
      </c>
      <c r="B220" s="57">
        <v>2377</v>
      </c>
      <c r="C220" s="57">
        <v>2</v>
      </c>
      <c r="D220" s="57">
        <v>0</v>
      </c>
      <c r="F220" s="57">
        <v>2.9609999999999999</v>
      </c>
      <c r="G220" s="57">
        <v>1.044</v>
      </c>
      <c r="H220" s="57">
        <v>0.48899999999999999</v>
      </c>
      <c r="I220" s="57">
        <v>0.16</v>
      </c>
      <c r="J220" s="57">
        <v>9.5500000000000007</v>
      </c>
      <c r="K220" s="33">
        <f>AVERAGE(1.46,1.58,1.61,1.42)</f>
        <v>1.5175000000000001</v>
      </c>
      <c r="L220" s="70">
        <v>44650</v>
      </c>
    </row>
    <row r="221" spans="1:12" x14ac:dyDescent="0.2">
      <c r="A221" s="57" t="s">
        <v>159</v>
      </c>
      <c r="B221" s="57">
        <v>2378</v>
      </c>
      <c r="C221" s="57">
        <v>3</v>
      </c>
      <c r="D221" s="57">
        <v>0</v>
      </c>
      <c r="F221" s="57">
        <v>1.254</v>
      </c>
      <c r="G221" s="57">
        <v>0.58099999999999996</v>
      </c>
      <c r="H221" s="57">
        <v>0.17</v>
      </c>
      <c r="I221" s="57">
        <v>7.2999999999999995E-2</v>
      </c>
      <c r="J221" s="57">
        <v>2.33</v>
      </c>
      <c r="K221" s="33">
        <f>AVERAGE(1.12,1.1,1.13,0.99)</f>
        <v>1.085</v>
      </c>
      <c r="L221" s="70">
        <v>44650</v>
      </c>
    </row>
    <row r="222" spans="1:12" x14ac:dyDescent="0.2">
      <c r="A222" s="57" t="s">
        <v>159</v>
      </c>
      <c r="B222" s="57">
        <v>2379</v>
      </c>
      <c r="C222" s="57">
        <v>2</v>
      </c>
      <c r="D222" s="57">
        <v>0</v>
      </c>
      <c r="F222" s="57">
        <v>0.41599999999999998</v>
      </c>
      <c r="G222" s="57">
        <v>0.21099999999999999</v>
      </c>
      <c r="H222" s="57">
        <v>4.5999999999999999E-2</v>
      </c>
      <c r="I222" s="57">
        <v>2.1999999999999999E-2</v>
      </c>
      <c r="J222" s="57">
        <v>1.05</v>
      </c>
      <c r="K222" s="57" t="s">
        <v>60</v>
      </c>
      <c r="L222" s="70">
        <v>44650</v>
      </c>
    </row>
    <row r="223" spans="1:12" x14ac:dyDescent="0.2">
      <c r="A223" s="57" t="s">
        <v>59</v>
      </c>
      <c r="B223" s="57">
        <v>2345</v>
      </c>
      <c r="C223" s="57">
        <v>1</v>
      </c>
      <c r="D223" s="57">
        <v>1</v>
      </c>
      <c r="F223" s="57">
        <v>1.696</v>
      </c>
      <c r="G223" s="57">
        <v>0.94299999999999995</v>
      </c>
      <c r="H223" s="57">
        <v>0.41799999999999998</v>
      </c>
      <c r="I223" s="57">
        <v>0.20899999999999999</v>
      </c>
      <c r="J223" s="57">
        <v>6.84</v>
      </c>
      <c r="K223" s="33">
        <f>AVERAGE(1.83,1.89,1.73,1.88)</f>
        <v>1.8324999999999998</v>
      </c>
      <c r="L223" s="70">
        <v>44650</v>
      </c>
    </row>
    <row r="224" spans="1:12" x14ac:dyDescent="0.2">
      <c r="A224" s="57" t="s">
        <v>159</v>
      </c>
      <c r="B224" s="57">
        <v>2347</v>
      </c>
      <c r="C224" s="57">
        <v>2</v>
      </c>
      <c r="D224" s="57">
        <v>0</v>
      </c>
      <c r="F224" s="57">
        <v>0.434</v>
      </c>
      <c r="G224" s="57">
        <v>0.152</v>
      </c>
      <c r="H224" s="57">
        <v>6.2E-2</v>
      </c>
      <c r="I224" s="57">
        <v>1.7999999999999999E-2</v>
      </c>
      <c r="J224" s="57">
        <v>1.0900000000000001</v>
      </c>
      <c r="K224" s="33">
        <f>AVERAGE(0.77,0.82,0.86,0.82)</f>
        <v>0.81749999999999989</v>
      </c>
      <c r="L224" s="70">
        <v>44650</v>
      </c>
    </row>
    <row r="225" spans="1:12" x14ac:dyDescent="0.2">
      <c r="A225" s="57" t="s">
        <v>159</v>
      </c>
      <c r="B225" s="57">
        <v>2009</v>
      </c>
      <c r="C225" s="57">
        <v>5</v>
      </c>
      <c r="D225" s="57">
        <v>0</v>
      </c>
      <c r="F225" s="57">
        <v>0.52700000000000002</v>
      </c>
      <c r="G225" s="57">
        <v>0.16700000000000001</v>
      </c>
      <c r="H225" s="57">
        <v>4.4999999999999998E-2</v>
      </c>
      <c r="I225" s="57">
        <v>1.4E-2</v>
      </c>
      <c r="J225" s="57">
        <v>1.38</v>
      </c>
      <c r="K225" s="33">
        <f>AVERAGE(1.26,1.4,1.55,1.32)</f>
        <v>1.3825000000000001</v>
      </c>
      <c r="L225" s="70">
        <v>44650</v>
      </c>
    </row>
    <row r="226" spans="1:12" x14ac:dyDescent="0.2">
      <c r="A226" s="57" t="s">
        <v>159</v>
      </c>
      <c r="B226" s="57">
        <v>2343</v>
      </c>
      <c r="C226" s="57">
        <v>2</v>
      </c>
      <c r="D226" s="57">
        <v>0</v>
      </c>
      <c r="F226" s="57">
        <v>0.751</v>
      </c>
      <c r="G226" s="57">
        <v>0.26200000000000001</v>
      </c>
      <c r="H226" s="57">
        <v>0.123</v>
      </c>
      <c r="I226" s="57">
        <v>3.9E-2</v>
      </c>
      <c r="J226" s="57">
        <v>2.64</v>
      </c>
      <c r="K226" s="33">
        <f>AVERAGE(1.27,1.21,1.12,1.25)</f>
        <v>1.2124999999999999</v>
      </c>
      <c r="L226" s="70">
        <v>44650</v>
      </c>
    </row>
    <row r="227" spans="1:12" x14ac:dyDescent="0.2">
      <c r="A227" s="57" t="s">
        <v>59</v>
      </c>
      <c r="B227" s="57">
        <v>2380</v>
      </c>
      <c r="C227" s="57">
        <v>2</v>
      </c>
      <c r="D227" s="57">
        <v>1</v>
      </c>
      <c r="F227" s="57">
        <v>1.276</v>
      </c>
      <c r="G227" s="57">
        <v>0.69399999999999995</v>
      </c>
      <c r="H227" s="57">
        <v>0.27900000000000003</v>
      </c>
      <c r="I227" s="57">
        <v>0.14499999999999999</v>
      </c>
      <c r="J227" s="57">
        <v>5.87</v>
      </c>
      <c r="K227" s="33">
        <f>AVERAGE(1.6,1.6,1.6,1.58)</f>
        <v>1.5950000000000002</v>
      </c>
      <c r="L227" s="70">
        <v>44650</v>
      </c>
    </row>
    <row r="228" spans="1:12" x14ac:dyDescent="0.2">
      <c r="A228" s="57" t="s">
        <v>59</v>
      </c>
      <c r="B228" s="57">
        <v>2380</v>
      </c>
      <c r="C228" s="57">
        <v>1</v>
      </c>
      <c r="D228" s="57">
        <v>0</v>
      </c>
      <c r="F228" s="57">
        <v>0.379</v>
      </c>
      <c r="G228" s="57">
        <v>0.10100000000000001</v>
      </c>
      <c r="H228" s="57">
        <v>3.3000000000000002E-2</v>
      </c>
      <c r="I228" s="57">
        <v>0.01</v>
      </c>
      <c r="J228" s="57">
        <v>1.32</v>
      </c>
      <c r="K228" s="57" t="s">
        <v>60</v>
      </c>
      <c r="L228" s="70">
        <v>44650</v>
      </c>
    </row>
    <row r="229" spans="1:12" x14ac:dyDescent="0.2">
      <c r="A229" s="57" t="s">
        <v>59</v>
      </c>
      <c r="B229" s="57">
        <v>2345</v>
      </c>
      <c r="C229" s="57">
        <v>3</v>
      </c>
      <c r="D229" s="57">
        <v>1</v>
      </c>
      <c r="F229" s="57">
        <v>2.008</v>
      </c>
      <c r="G229" s="57">
        <v>1.1220000000000001</v>
      </c>
      <c r="H229" s="57">
        <v>0.61799999999999999</v>
      </c>
      <c r="I229" s="57">
        <v>0.33</v>
      </c>
      <c r="J229" s="57">
        <v>10.37</v>
      </c>
      <c r="K229" s="33">
        <f>AVERAGE(1.99,1.92,1.93,1.94)</f>
        <v>1.9449999999999998</v>
      </c>
      <c r="L229" s="70">
        <v>44650</v>
      </c>
    </row>
    <row r="230" spans="1:12" x14ac:dyDescent="0.2">
      <c r="A230" s="57" t="s">
        <v>159</v>
      </c>
      <c r="B230" s="57">
        <v>2009</v>
      </c>
      <c r="C230" s="57">
        <v>3</v>
      </c>
      <c r="D230" s="57">
        <v>0</v>
      </c>
      <c r="F230" s="57">
        <v>0.61699999999999999</v>
      </c>
      <c r="G230" s="57">
        <v>0.249</v>
      </c>
      <c r="H230" s="57">
        <v>5.8999999999999997E-2</v>
      </c>
      <c r="I230" s="57">
        <v>2.4E-2</v>
      </c>
      <c r="J230" s="57">
        <v>1.41</v>
      </c>
      <c r="K230" s="33">
        <f>AVERAGE(0.96,1.12,1.02,1.14)</f>
        <v>1.06</v>
      </c>
      <c r="L230" s="70">
        <v>44650</v>
      </c>
    </row>
    <row r="231" spans="1:12" x14ac:dyDescent="0.2">
      <c r="A231" s="57" t="s">
        <v>159</v>
      </c>
      <c r="B231" s="57">
        <v>2346</v>
      </c>
      <c r="C231" s="57">
        <v>2</v>
      </c>
      <c r="D231" s="57">
        <v>0</v>
      </c>
      <c r="F231" s="57">
        <v>0.74199999999999999</v>
      </c>
      <c r="G231" s="57">
        <v>0.32600000000000001</v>
      </c>
      <c r="H231" s="57">
        <v>9.2999999999999999E-2</v>
      </c>
      <c r="I231" s="57">
        <v>3.7999999999999999E-2</v>
      </c>
      <c r="J231" s="57">
        <v>2.52</v>
      </c>
      <c r="K231" s="33">
        <f>AVERAGE(0.91,0.93,1.04,1.12)</f>
        <v>1</v>
      </c>
      <c r="L231" s="70">
        <v>44650</v>
      </c>
    </row>
    <row r="232" spans="1:12" x14ac:dyDescent="0.2">
      <c r="A232" s="57" t="s">
        <v>159</v>
      </c>
      <c r="B232" s="57">
        <v>2373</v>
      </c>
      <c r="C232" s="57">
        <v>1</v>
      </c>
      <c r="D232" s="57">
        <v>0</v>
      </c>
      <c r="F232" s="57">
        <v>0.45200000000000001</v>
      </c>
      <c r="G232" s="57">
        <v>0.125</v>
      </c>
      <c r="H232" s="57">
        <v>4.7E-2</v>
      </c>
      <c r="I232" s="57">
        <v>1.4E-2</v>
      </c>
      <c r="J232" s="57">
        <v>1.36</v>
      </c>
      <c r="K232" s="33">
        <f>AVERAGE(0.94,0.98,0.78,0.78)</f>
        <v>0.87000000000000011</v>
      </c>
      <c r="L232" s="70">
        <v>44650</v>
      </c>
    </row>
    <row r="233" spans="1:12" x14ac:dyDescent="0.2">
      <c r="A233" s="57" t="s">
        <v>159</v>
      </c>
      <c r="B233" s="57">
        <v>2382</v>
      </c>
      <c r="C233" s="57">
        <v>2</v>
      </c>
      <c r="D233" s="57">
        <v>0</v>
      </c>
      <c r="F233" s="57">
        <v>0.81200000000000006</v>
      </c>
      <c r="G233" s="57">
        <v>0.41099999999999998</v>
      </c>
      <c r="H233" s="57">
        <v>0.15</v>
      </c>
      <c r="I233" s="57">
        <v>6.9000000000000006E-2</v>
      </c>
      <c r="J233" s="57">
        <v>3.37</v>
      </c>
      <c r="K233" s="33">
        <f>AVERAGE(0.96,1.06,1.04,0.92)</f>
        <v>0.995</v>
      </c>
      <c r="L233" s="70">
        <v>44650</v>
      </c>
    </row>
    <row r="234" spans="1:12" x14ac:dyDescent="0.2">
      <c r="A234" s="57" t="s">
        <v>59</v>
      </c>
      <c r="B234" s="57">
        <v>2376</v>
      </c>
      <c r="C234" s="57">
        <v>2</v>
      </c>
      <c r="D234" s="57">
        <v>1</v>
      </c>
      <c r="F234" s="57">
        <v>2.1190000000000002</v>
      </c>
      <c r="G234" s="57">
        <v>1.161</v>
      </c>
      <c r="H234" s="57">
        <v>0.29299999999999998</v>
      </c>
      <c r="I234" s="57">
        <v>0.158</v>
      </c>
      <c r="J234" s="57">
        <v>5.71</v>
      </c>
      <c r="K234" s="33">
        <f>AVERAGE(1.58,1.6,1.71,1.59)</f>
        <v>1.62</v>
      </c>
      <c r="L234" s="70">
        <v>44650</v>
      </c>
    </row>
    <row r="235" spans="1:12" x14ac:dyDescent="0.2">
      <c r="A235" s="57" t="s">
        <v>59</v>
      </c>
      <c r="B235" s="57">
        <v>2380</v>
      </c>
      <c r="C235" s="57">
        <v>1</v>
      </c>
      <c r="D235" s="57">
        <v>1</v>
      </c>
      <c r="F235" s="57">
        <v>0.53400000000000003</v>
      </c>
      <c r="G235" s="57">
        <v>0.28699999999999998</v>
      </c>
      <c r="H235" s="57">
        <v>7.2999999999999995E-2</v>
      </c>
      <c r="I235" s="57">
        <v>3.4000000000000002E-2</v>
      </c>
      <c r="J235" s="57">
        <v>1.9</v>
      </c>
      <c r="K235" s="33">
        <f>AVERAGE(0.84,0.86,0.93,0.82)</f>
        <v>0.86249999999999993</v>
      </c>
      <c r="L235" s="70">
        <v>44650</v>
      </c>
    </row>
    <row r="236" spans="1:12" x14ac:dyDescent="0.2">
      <c r="A236" s="57" t="s">
        <v>59</v>
      </c>
      <c r="B236" s="57">
        <v>2352</v>
      </c>
      <c r="C236" s="57">
        <v>1</v>
      </c>
      <c r="D236" s="57">
        <v>0</v>
      </c>
      <c r="F236" s="57">
        <v>0.60599999999999998</v>
      </c>
      <c r="G236" s="57">
        <v>0.27</v>
      </c>
      <c r="H236" s="57">
        <v>3.2000000000000001E-2</v>
      </c>
      <c r="I236" s="57">
        <v>1.2999999999999999E-2</v>
      </c>
      <c r="J236" s="57">
        <v>1.86</v>
      </c>
      <c r="K236" s="57" t="s">
        <v>60</v>
      </c>
      <c r="L236" s="70">
        <v>44650</v>
      </c>
    </row>
    <row r="237" spans="1:12" x14ac:dyDescent="0.2">
      <c r="A237" s="57" t="s">
        <v>159</v>
      </c>
      <c r="B237" s="57">
        <v>2370</v>
      </c>
      <c r="C237" s="57">
        <v>3</v>
      </c>
      <c r="D237" s="57">
        <v>0</v>
      </c>
      <c r="F237" s="57">
        <v>0.218</v>
      </c>
      <c r="G237" s="57">
        <v>6.5000000000000002E-2</v>
      </c>
      <c r="H237" s="57">
        <v>0.02</v>
      </c>
      <c r="I237" s="57">
        <v>7.0000000000000001E-3</v>
      </c>
      <c r="J237" s="57">
        <v>0.84</v>
      </c>
      <c r="K237" s="57" t="s">
        <v>60</v>
      </c>
      <c r="L237" s="70">
        <v>44650</v>
      </c>
    </row>
    <row r="238" spans="1:12" x14ac:dyDescent="0.2">
      <c r="A238" s="57" t="s">
        <v>59</v>
      </c>
      <c r="B238" s="57">
        <v>2354</v>
      </c>
      <c r="C238" s="57">
        <v>2</v>
      </c>
      <c r="D238" s="57">
        <v>1</v>
      </c>
      <c r="F238" s="57">
        <v>2.2690000000000001</v>
      </c>
      <c r="G238" s="57">
        <v>1.2589999999999999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</v>
      </c>
    </row>
    <row r="239" spans="1:12" x14ac:dyDescent="0.2">
      <c r="A239" s="57" t="s">
        <v>159</v>
      </c>
      <c r="B239" s="57">
        <v>2378</v>
      </c>
      <c r="C239" s="57">
        <v>2</v>
      </c>
      <c r="D239" s="57">
        <v>0</v>
      </c>
      <c r="F239" s="57">
        <v>1.0680000000000001</v>
      </c>
      <c r="G239" s="57">
        <v>0.50600000000000001</v>
      </c>
      <c r="H239" s="57">
        <v>0.29399999999999998</v>
      </c>
      <c r="I239" s="57">
        <v>0.125</v>
      </c>
      <c r="J239" s="57">
        <v>4.1100000000000003</v>
      </c>
      <c r="K239" s="33">
        <f>AVERAGE(1.4,1.46,1.63,1.81)</f>
        <v>1.5750000000000002</v>
      </c>
      <c r="L239" s="70">
        <v>44650</v>
      </c>
    </row>
    <row r="240" spans="1:12" x14ac:dyDescent="0.2">
      <c r="A240" s="57" t="s">
        <v>159</v>
      </c>
      <c r="B240" s="57">
        <v>2382</v>
      </c>
      <c r="C240" s="57">
        <v>3</v>
      </c>
      <c r="D240" s="57">
        <v>0</v>
      </c>
      <c r="F240" s="57">
        <v>0.876</v>
      </c>
      <c r="G240" s="57">
        <v>0.432</v>
      </c>
      <c r="H240" s="57">
        <v>0.05</v>
      </c>
      <c r="I240" s="57">
        <v>2.1000000000000001E-2</v>
      </c>
      <c r="J240" s="57">
        <v>1.24</v>
      </c>
      <c r="K240" s="33">
        <f>AVERAGE(0.96,1.1,1.24,1.05)</f>
        <v>1.0874999999999999</v>
      </c>
      <c r="L240" s="70">
        <v>44650</v>
      </c>
    </row>
    <row r="241" spans="1:12" x14ac:dyDescent="0.2">
      <c r="A241" s="57" t="s">
        <v>159</v>
      </c>
      <c r="B241" s="57">
        <v>2381</v>
      </c>
      <c r="C241" s="57">
        <v>1</v>
      </c>
      <c r="D241" s="57">
        <v>0</v>
      </c>
      <c r="F241" s="57">
        <v>0.82599999999999996</v>
      </c>
      <c r="G241" s="57">
        <v>0.38700000000000001</v>
      </c>
      <c r="H241" s="57">
        <v>9.1999999999999998E-2</v>
      </c>
      <c r="I241" s="57">
        <v>3.6999999999999998E-2</v>
      </c>
      <c r="J241" s="57">
        <v>1.49</v>
      </c>
      <c r="K241" s="33">
        <f>AVERAGE(1.26,1.19,1.19,1.49)</f>
        <v>1.2825</v>
      </c>
      <c r="L241" s="70">
        <v>44650</v>
      </c>
    </row>
    <row r="242" spans="1:12" x14ac:dyDescent="0.2">
      <c r="A242" s="57" t="s">
        <v>59</v>
      </c>
      <c r="B242" s="57">
        <v>2352</v>
      </c>
      <c r="C242" s="57">
        <v>2</v>
      </c>
      <c r="D242" s="57">
        <v>0</v>
      </c>
      <c r="F242" s="57">
        <v>0.29399999999999998</v>
      </c>
      <c r="G242" s="57">
        <v>0.13100000000000001</v>
      </c>
      <c r="H242" s="57">
        <v>3.9E-2</v>
      </c>
      <c r="I242" s="57">
        <v>1.4999999999999999E-2</v>
      </c>
      <c r="J242" s="57">
        <v>2.1800000000000002</v>
      </c>
      <c r="K242" s="57" t="s">
        <v>60</v>
      </c>
      <c r="L242" s="70">
        <v>44650</v>
      </c>
    </row>
    <row r="243" spans="1:12" x14ac:dyDescent="0.2">
      <c r="A243" s="57" t="s">
        <v>159</v>
      </c>
      <c r="B243" s="57">
        <v>2347</v>
      </c>
      <c r="C243" s="57">
        <v>1</v>
      </c>
      <c r="D243" s="57">
        <v>0</v>
      </c>
      <c r="F243" s="57">
        <v>1.0269999999999999</v>
      </c>
      <c r="G243" s="57">
        <v>0.35699999999999998</v>
      </c>
      <c r="H243" s="57">
        <v>9.4E-2</v>
      </c>
      <c r="I243" s="57">
        <v>2.8000000000000001E-2</v>
      </c>
      <c r="J243" s="57">
        <v>1.29</v>
      </c>
      <c r="K243" s="57" t="s">
        <v>60</v>
      </c>
      <c r="L243" s="70">
        <v>44650</v>
      </c>
    </row>
    <row r="244" spans="1:12" x14ac:dyDescent="0.2">
      <c r="A244" s="57" t="s">
        <v>159</v>
      </c>
      <c r="B244" s="57">
        <v>2370</v>
      </c>
      <c r="C244" s="57">
        <v>2</v>
      </c>
      <c r="D244" s="57">
        <v>0</v>
      </c>
      <c r="F244" s="57">
        <v>0.249</v>
      </c>
      <c r="G244" s="57">
        <v>7.2999999999999995E-2</v>
      </c>
      <c r="H244" s="57">
        <v>1.4E-2</v>
      </c>
      <c r="I244" s="57">
        <v>3.0000000000000001E-3</v>
      </c>
      <c r="J244" s="57">
        <v>0.75</v>
      </c>
      <c r="K244" s="57" t="s">
        <v>60</v>
      </c>
      <c r="L244" s="70">
        <v>44650</v>
      </c>
    </row>
    <row r="245" spans="1:12" x14ac:dyDescent="0.2">
      <c r="A245" s="57" t="s">
        <v>59</v>
      </c>
      <c r="B245" s="57">
        <v>2354</v>
      </c>
      <c r="C245" s="57">
        <v>3</v>
      </c>
      <c r="D245" s="57">
        <v>0</v>
      </c>
      <c r="F245" s="57">
        <v>0.215</v>
      </c>
      <c r="G245" s="57">
        <v>5.7000000000000002E-2</v>
      </c>
      <c r="H245" s="57">
        <v>3.5000000000000003E-2</v>
      </c>
      <c r="I245" s="57">
        <v>0.01</v>
      </c>
      <c r="J245" s="57">
        <v>1.35</v>
      </c>
      <c r="K245" s="57" t="s">
        <v>60</v>
      </c>
      <c r="L245" s="70">
        <v>44650</v>
      </c>
    </row>
    <row r="246" spans="1:12" x14ac:dyDescent="0.2">
      <c r="A246" s="57" t="s">
        <v>59</v>
      </c>
      <c r="B246" s="57">
        <v>2352</v>
      </c>
      <c r="C246" s="57">
        <v>2</v>
      </c>
      <c r="D246" s="57">
        <v>1</v>
      </c>
      <c r="F246" s="57">
        <v>0.78200000000000003</v>
      </c>
      <c r="G246" s="57">
        <v>0.48599999999999999</v>
      </c>
      <c r="H246" s="57">
        <v>0.24199999999999999</v>
      </c>
      <c r="I246" s="57">
        <v>0.13100000000000001</v>
      </c>
      <c r="J246" s="57">
        <v>6</v>
      </c>
      <c r="K246" s="33">
        <f>AVERAGE(1.45,1.51,1.51,1.44)</f>
        <v>1.4775</v>
      </c>
      <c r="L246" s="70">
        <v>44650</v>
      </c>
    </row>
    <row r="247" spans="1:12" x14ac:dyDescent="0.2">
      <c r="A247" s="57" t="s">
        <v>159</v>
      </c>
      <c r="B247" s="57">
        <v>2360</v>
      </c>
      <c r="C247" s="57">
        <v>2</v>
      </c>
      <c r="D247" s="57">
        <v>0</v>
      </c>
      <c r="F247" s="57">
        <v>0.76400000000000001</v>
      </c>
      <c r="G247" s="57">
        <v>0.32700000000000001</v>
      </c>
      <c r="H247" s="57">
        <v>4.9000000000000002E-2</v>
      </c>
      <c r="I247" s="57">
        <v>1.6E-2</v>
      </c>
      <c r="J247" s="57">
        <v>1.2</v>
      </c>
      <c r="K247" s="57" t="s">
        <v>60</v>
      </c>
      <c r="L247" s="70">
        <v>44650</v>
      </c>
    </row>
    <row r="248" spans="1:12" x14ac:dyDescent="0.2">
      <c r="A248" s="57" t="s">
        <v>159</v>
      </c>
      <c r="B248" s="57">
        <v>2020</v>
      </c>
      <c r="C248" s="57">
        <v>1</v>
      </c>
      <c r="D248" s="57">
        <v>0</v>
      </c>
      <c r="F248" s="57">
        <v>0.80300000000000005</v>
      </c>
      <c r="G248" s="57">
        <v>0.36099999999999999</v>
      </c>
      <c r="H248" s="57">
        <v>0.104</v>
      </c>
      <c r="I248" s="57">
        <v>4.1000000000000002E-2</v>
      </c>
      <c r="J248" s="57">
        <v>1.6</v>
      </c>
      <c r="K248" s="33">
        <f>AVERAGE(1.27,1.02,1.22,1.48)</f>
        <v>1.2475000000000001</v>
      </c>
      <c r="L248" s="70">
        <v>44650</v>
      </c>
    </row>
    <row r="249" spans="1:12" x14ac:dyDescent="0.2">
      <c r="A249" s="57" t="s">
        <v>159</v>
      </c>
      <c r="B249" s="57">
        <v>2381</v>
      </c>
      <c r="C249" s="57">
        <v>2</v>
      </c>
      <c r="D249" s="57">
        <v>0</v>
      </c>
      <c r="F249" s="57">
        <v>1.0669999999999999</v>
      </c>
      <c r="G249" s="57">
        <v>0.496</v>
      </c>
      <c r="H249" s="57">
        <v>0.106</v>
      </c>
      <c r="I249" s="57">
        <v>4.3999999999999997E-2</v>
      </c>
      <c r="J249" s="57">
        <v>2.0299999999999998</v>
      </c>
      <c r="K249" s="33">
        <f>AVERAGE(1.32,1.21,1.24,1.3)</f>
        <v>1.2675000000000001</v>
      </c>
      <c r="L249" s="70">
        <v>44650</v>
      </c>
    </row>
    <row r="250" spans="1:12" x14ac:dyDescent="0.2">
      <c r="A250" s="57" t="s">
        <v>159</v>
      </c>
      <c r="B250" s="57">
        <v>2384</v>
      </c>
      <c r="C250" s="57">
        <v>1</v>
      </c>
      <c r="D250" s="57">
        <v>0</v>
      </c>
      <c r="F250" s="57">
        <v>0.38800000000000001</v>
      </c>
      <c r="G250" s="57">
        <v>0.182</v>
      </c>
      <c r="H250" s="57">
        <v>2.1999999999999999E-2</v>
      </c>
      <c r="I250" s="57">
        <v>8.0000000000000002E-3</v>
      </c>
      <c r="J250" s="57">
        <v>0.77</v>
      </c>
      <c r="K250" s="57" t="s">
        <v>60</v>
      </c>
      <c r="L250" s="70">
        <v>44650</v>
      </c>
    </row>
    <row r="251" spans="1:12" x14ac:dyDescent="0.2">
      <c r="A251" s="57" t="s">
        <v>159</v>
      </c>
      <c r="B251" s="57">
        <v>2343</v>
      </c>
      <c r="C251" s="57">
        <v>1</v>
      </c>
      <c r="D251" s="57">
        <v>0</v>
      </c>
      <c r="F251" s="57">
        <v>0.81200000000000006</v>
      </c>
      <c r="G251" s="57">
        <v>0.29099999999999998</v>
      </c>
      <c r="H251" s="57">
        <v>0.107</v>
      </c>
      <c r="I251" s="57">
        <v>3.5000000000000003E-2</v>
      </c>
      <c r="J251" s="57">
        <v>2.1800000000000002</v>
      </c>
      <c r="K251" s="57" t="s">
        <v>60</v>
      </c>
      <c r="L251" s="70">
        <v>44650</v>
      </c>
    </row>
    <row r="252" spans="1:12" x14ac:dyDescent="0.2">
      <c r="A252" s="57" t="s">
        <v>59</v>
      </c>
      <c r="B252" s="57">
        <v>2352</v>
      </c>
      <c r="C252" s="57">
        <v>3</v>
      </c>
      <c r="D252" s="57">
        <v>1</v>
      </c>
      <c r="F252" s="57">
        <v>0.95499999999999996</v>
      </c>
      <c r="G252" s="57">
        <v>0.60499999999999998</v>
      </c>
      <c r="H252" s="57">
        <v>0.246</v>
      </c>
      <c r="I252" s="57">
        <v>0.14699999999999999</v>
      </c>
      <c r="J252" s="57">
        <v>6.51</v>
      </c>
      <c r="K252" s="33">
        <f>AVERAGE(1.36,1.34,1.38,1.32)</f>
        <v>1.35</v>
      </c>
      <c r="L252" s="70">
        <v>44650</v>
      </c>
    </row>
    <row r="253" spans="1:12" x14ac:dyDescent="0.2">
      <c r="A253" s="57" t="s">
        <v>159</v>
      </c>
      <c r="B253" s="57">
        <v>2346</v>
      </c>
      <c r="C253" s="57">
        <v>3</v>
      </c>
      <c r="D253" s="57">
        <v>0</v>
      </c>
      <c r="F253" s="57">
        <v>0.63700000000000001</v>
      </c>
      <c r="G253" s="57">
        <v>0.29499999999999998</v>
      </c>
      <c r="H253" s="57">
        <v>0.14599999999999999</v>
      </c>
      <c r="I253" s="57">
        <v>5.8000000000000003E-2</v>
      </c>
      <c r="J253" s="57">
        <v>2.83</v>
      </c>
      <c r="K253" s="33">
        <f>AVERAGE(0.99,1,1.02,1)</f>
        <v>1.0024999999999999</v>
      </c>
      <c r="L253" s="70">
        <v>44650</v>
      </c>
    </row>
    <row r="254" spans="1:12" x14ac:dyDescent="0.2">
      <c r="A254" s="57" t="s">
        <v>159</v>
      </c>
      <c r="B254" s="57">
        <v>2009</v>
      </c>
      <c r="C254" s="57">
        <v>2</v>
      </c>
      <c r="D254" s="57">
        <v>0</v>
      </c>
      <c r="F254" s="57">
        <v>0.67400000000000004</v>
      </c>
      <c r="G254" s="57">
        <v>0.27100000000000002</v>
      </c>
      <c r="H254" s="57">
        <v>0.08</v>
      </c>
      <c r="I254" s="57">
        <v>3.2000000000000001E-2</v>
      </c>
      <c r="J254" s="57">
        <v>1.33</v>
      </c>
      <c r="K254" s="33">
        <f>AVERAGE(0.7,0.76,0.84,0.99)</f>
        <v>0.82250000000000001</v>
      </c>
      <c r="L254" s="70">
        <v>44650</v>
      </c>
    </row>
    <row r="255" spans="1:12" x14ac:dyDescent="0.2">
      <c r="A255" s="57" t="s">
        <v>59</v>
      </c>
      <c r="B255" s="57">
        <v>2345</v>
      </c>
      <c r="C255" s="57">
        <v>2</v>
      </c>
      <c r="D255" s="57">
        <v>1</v>
      </c>
      <c r="F255" s="57">
        <v>2.153</v>
      </c>
      <c r="G255" s="57">
        <v>1.1479999999999999</v>
      </c>
      <c r="H255" s="57">
        <v>0.625</v>
      </c>
      <c r="I255" s="57">
        <v>0.33900000000000002</v>
      </c>
      <c r="J255" s="57">
        <v>10.37</v>
      </c>
      <c r="K255" s="33">
        <f>AVERAGE(1.98,2.01,1.91,1.98)</f>
        <v>1.9699999999999998</v>
      </c>
      <c r="L255" s="70">
        <v>44650</v>
      </c>
    </row>
    <row r="256" spans="1:12" x14ac:dyDescent="0.2">
      <c r="A256" s="57" t="s">
        <v>159</v>
      </c>
      <c r="B256" s="57">
        <v>2383</v>
      </c>
      <c r="C256" s="57">
        <v>2</v>
      </c>
      <c r="D256" s="57">
        <v>0</v>
      </c>
      <c r="F256" s="57">
        <v>0.55000000000000004</v>
      </c>
      <c r="G256" s="57">
        <v>0.27600000000000002</v>
      </c>
      <c r="H256" s="57">
        <v>3.1E-2</v>
      </c>
      <c r="I256" s="57">
        <v>1.2E-2</v>
      </c>
      <c r="J256" s="57">
        <v>0.84</v>
      </c>
      <c r="K256" s="33">
        <f>AVERAGE(0.93,0.97,1.1,0.98)</f>
        <v>0.995</v>
      </c>
      <c r="L256" s="70">
        <v>44650</v>
      </c>
    </row>
    <row r="257" spans="1:12" x14ac:dyDescent="0.2">
      <c r="A257" s="57" t="s">
        <v>59</v>
      </c>
      <c r="B257" s="57">
        <v>2354</v>
      </c>
      <c r="C257" s="57">
        <v>3</v>
      </c>
      <c r="D257" s="57">
        <v>1</v>
      </c>
      <c r="F257" s="57">
        <v>3.496</v>
      </c>
      <c r="G257" s="57">
        <v>1.903</v>
      </c>
      <c r="H257" s="57">
        <v>0.52200000000000002</v>
      </c>
      <c r="I257" s="57">
        <v>0.27300000000000002</v>
      </c>
      <c r="J257" s="57">
        <v>7.98</v>
      </c>
      <c r="K257" s="33">
        <f>AVERAGE(2.34,2.12,2.25,2.2)</f>
        <v>2.2275</v>
      </c>
      <c r="L257" s="70">
        <v>44650</v>
      </c>
    </row>
    <row r="258" spans="1:12" x14ac:dyDescent="0.2">
      <c r="A258" s="57" t="s">
        <v>59</v>
      </c>
      <c r="B258" s="57">
        <v>2331</v>
      </c>
      <c r="C258" s="57">
        <v>2</v>
      </c>
      <c r="D258" s="57">
        <v>1</v>
      </c>
      <c r="F258" s="57">
        <v>1.4530000000000001</v>
      </c>
      <c r="G258" s="57">
        <v>0.81499999999999995</v>
      </c>
      <c r="H258" s="57">
        <v>0.30399999999999999</v>
      </c>
      <c r="I258" s="57">
        <v>0.16700000000000001</v>
      </c>
      <c r="J258" s="57">
        <v>8.1199999999999992</v>
      </c>
      <c r="K258" s="33">
        <f>AVERAGE(1.39,1.57,1.37,1.43)</f>
        <v>1.44</v>
      </c>
      <c r="L258" s="70">
        <v>44650</v>
      </c>
    </row>
    <row r="259" spans="1:12" x14ac:dyDescent="0.2">
      <c r="A259" s="57" t="s">
        <v>159</v>
      </c>
      <c r="B259" s="57">
        <v>2009</v>
      </c>
      <c r="C259" s="57">
        <v>4</v>
      </c>
      <c r="D259" s="57">
        <v>0</v>
      </c>
      <c r="F259" s="57">
        <v>0.89200000000000002</v>
      </c>
      <c r="G259" s="57">
        <v>0.33400000000000002</v>
      </c>
      <c r="H259" s="57">
        <v>6.6000000000000003E-2</v>
      </c>
      <c r="I259" s="57">
        <v>2.3E-2</v>
      </c>
      <c r="J259" s="57">
        <v>1.25</v>
      </c>
      <c r="K259" s="33">
        <f>AVERAGE(1.4,1.15,1.26,1.23)</f>
        <v>1.2599999999999998</v>
      </c>
      <c r="L259" s="70">
        <v>44650</v>
      </c>
    </row>
    <row r="260" spans="1:12" x14ac:dyDescent="0.2">
      <c r="A260" s="57" t="s">
        <v>159</v>
      </c>
      <c r="B260" s="57">
        <v>2347</v>
      </c>
      <c r="C260" s="57">
        <v>3</v>
      </c>
      <c r="D260" s="57">
        <v>0</v>
      </c>
      <c r="F260" s="57">
        <v>0.627</v>
      </c>
      <c r="G260" s="57">
        <v>0.22</v>
      </c>
      <c r="H260" s="57">
        <v>8.7999999999999995E-2</v>
      </c>
      <c r="I260" s="57">
        <v>2.7E-2</v>
      </c>
      <c r="J260" s="57">
        <v>1.08</v>
      </c>
      <c r="K260" s="57" t="s">
        <v>60</v>
      </c>
      <c r="L260" s="70">
        <v>44650</v>
      </c>
    </row>
    <row r="261" spans="1:12" x14ac:dyDescent="0.2">
      <c r="A261" s="57" t="s">
        <v>159</v>
      </c>
      <c r="B261" s="57">
        <v>2372</v>
      </c>
      <c r="C261" s="57">
        <v>2</v>
      </c>
      <c r="D261" s="57">
        <v>0</v>
      </c>
      <c r="F261" s="57">
        <v>0.32500000000000001</v>
      </c>
      <c r="G261" s="57">
        <v>9.9000000000000005E-2</v>
      </c>
      <c r="H261" s="57">
        <v>0.03</v>
      </c>
      <c r="I261" s="57">
        <v>7.0000000000000001E-3</v>
      </c>
      <c r="J261" s="57">
        <v>0.88</v>
      </c>
      <c r="K261" s="57" t="s">
        <v>60</v>
      </c>
      <c r="L261" s="70">
        <v>44650</v>
      </c>
    </row>
    <row r="262" spans="1:12" x14ac:dyDescent="0.2">
      <c r="A262" s="57" t="s">
        <v>159</v>
      </c>
      <c r="B262" s="57">
        <v>2372</v>
      </c>
      <c r="C262" s="57">
        <v>3</v>
      </c>
      <c r="D262" s="57">
        <v>0</v>
      </c>
      <c r="F262" s="57">
        <v>0.876</v>
      </c>
      <c r="G262" s="57">
        <v>0.25800000000000001</v>
      </c>
      <c r="H262" s="57">
        <v>5.8000000000000003E-2</v>
      </c>
      <c r="I262" s="57">
        <v>1.6E-2</v>
      </c>
      <c r="J262" s="57">
        <v>1.26</v>
      </c>
      <c r="K262" s="57" t="s">
        <v>60</v>
      </c>
      <c r="L262" s="70">
        <v>44650</v>
      </c>
    </row>
    <row r="263" spans="1:12" x14ac:dyDescent="0.2">
      <c r="A263" s="57" t="s">
        <v>159</v>
      </c>
      <c r="B263" s="57">
        <v>2009</v>
      </c>
      <c r="C263" s="57">
        <v>1</v>
      </c>
      <c r="D263" s="57">
        <v>0</v>
      </c>
      <c r="F263" s="57">
        <v>0.502</v>
      </c>
      <c r="G263" s="57">
        <v>0.19500000000000001</v>
      </c>
      <c r="H263" s="57">
        <v>4.9000000000000002E-2</v>
      </c>
      <c r="I263" s="57">
        <v>1.9E-2</v>
      </c>
      <c r="J263" s="57">
        <v>1.28</v>
      </c>
      <c r="K263" s="33">
        <f>AVERAGE(0.77,0.86,0.93,0.9)</f>
        <v>0.86499999999999999</v>
      </c>
      <c r="L263" s="70">
        <v>44650</v>
      </c>
    </row>
    <row r="264" spans="1:12" x14ac:dyDescent="0.2">
      <c r="A264" s="57" t="s">
        <v>159</v>
      </c>
      <c r="B264" s="57">
        <v>2370</v>
      </c>
      <c r="C264" s="57">
        <v>1</v>
      </c>
      <c r="D264" s="57">
        <v>0</v>
      </c>
      <c r="F264" s="57">
        <v>0.30399999999999999</v>
      </c>
      <c r="G264" s="57">
        <v>8.7999999999999995E-2</v>
      </c>
      <c r="H264" s="57">
        <v>1.6E-2</v>
      </c>
      <c r="I264" s="57">
        <v>5.0000000000000001E-3</v>
      </c>
      <c r="J264" s="57">
        <v>0.65</v>
      </c>
      <c r="K264" s="57" t="s">
        <v>60</v>
      </c>
      <c r="L264" s="70">
        <v>44650</v>
      </c>
    </row>
    <row r="265" spans="1:12" x14ac:dyDescent="0.2">
      <c r="A265" s="57" t="s">
        <v>159</v>
      </c>
      <c r="B265" s="57">
        <v>2346</v>
      </c>
      <c r="C265" s="57">
        <v>1</v>
      </c>
      <c r="D265" s="57">
        <v>0</v>
      </c>
      <c r="F265" s="57">
        <v>0.51</v>
      </c>
      <c r="G265" s="57">
        <v>0.23200000000000001</v>
      </c>
      <c r="H265" s="57">
        <v>5.0999999999999997E-2</v>
      </c>
      <c r="I265" s="57">
        <v>0.02</v>
      </c>
      <c r="J265" s="57">
        <v>1.64</v>
      </c>
      <c r="K265" s="33">
        <f>AVERAGE(0.95,0.94,1.05,1.02)</f>
        <v>0.99</v>
      </c>
      <c r="L265" s="70">
        <v>44650</v>
      </c>
    </row>
    <row r="266" spans="1:12" x14ac:dyDescent="0.2">
      <c r="A266" s="57" t="s">
        <v>159</v>
      </c>
      <c r="B266" s="57">
        <v>2378</v>
      </c>
      <c r="C266" s="57">
        <v>1</v>
      </c>
      <c r="D266" s="57">
        <v>0</v>
      </c>
      <c r="F266" s="57">
        <v>1.1819999999999999</v>
      </c>
      <c r="G266" s="57">
        <v>0.52600000000000002</v>
      </c>
      <c r="H266" s="57">
        <v>0.16700000000000001</v>
      </c>
      <c r="I266" s="57">
        <v>7.0000000000000007E-2</v>
      </c>
      <c r="J266" s="57">
        <v>3.38</v>
      </c>
      <c r="K266" s="33">
        <f>AVERAGE(1.15,1.25,1.4,1.37)</f>
        <v>1.2925</v>
      </c>
      <c r="L266" s="70">
        <v>44650</v>
      </c>
    </row>
    <row r="267" spans="1:12" x14ac:dyDescent="0.2">
      <c r="A267" s="57" t="s">
        <v>159</v>
      </c>
      <c r="B267" s="57">
        <v>2384</v>
      </c>
      <c r="C267" s="57">
        <v>2</v>
      </c>
      <c r="D267" s="57">
        <v>0</v>
      </c>
      <c r="F267" s="57">
        <v>0.58699999999999997</v>
      </c>
      <c r="G267" s="57">
        <v>0.27700000000000002</v>
      </c>
      <c r="H267" s="57">
        <v>3.5000000000000003E-2</v>
      </c>
      <c r="I267" s="57">
        <v>1.4999999999999999E-2</v>
      </c>
      <c r="J267" s="57">
        <v>0.98</v>
      </c>
      <c r="K267" s="33">
        <f>AVERAGE(1.01,1.05,1.07,0.97)</f>
        <v>1.0249999999999999</v>
      </c>
      <c r="L267" s="70">
        <v>44650</v>
      </c>
    </row>
    <row r="268" spans="1:12" x14ac:dyDescent="0.2">
      <c r="A268" s="57" t="s">
        <v>159</v>
      </c>
      <c r="B268" s="57">
        <v>2381</v>
      </c>
      <c r="C268" s="57">
        <v>3</v>
      </c>
      <c r="D268" s="57">
        <v>0</v>
      </c>
      <c r="F268" s="57">
        <v>1.0429999999999999</v>
      </c>
      <c r="G268" s="57">
        <v>0.46800000000000003</v>
      </c>
      <c r="H268" s="57">
        <v>0.124</v>
      </c>
      <c r="I268" s="57">
        <v>5.0999999999999997E-2</v>
      </c>
      <c r="J268" s="57">
        <v>2.17</v>
      </c>
      <c r="K268" s="33">
        <f>AVERAGE(1.3,1.31,1.41,1.19)</f>
        <v>1.3025000000000002</v>
      </c>
      <c r="L268" s="70">
        <v>44650</v>
      </c>
    </row>
    <row r="269" spans="1:12" x14ac:dyDescent="0.2">
      <c r="A269" s="57" t="s">
        <v>159</v>
      </c>
      <c r="B269" s="57">
        <v>2343</v>
      </c>
      <c r="C269" s="57">
        <v>3</v>
      </c>
      <c r="D269" s="57">
        <v>0</v>
      </c>
      <c r="F269" s="57">
        <v>0.78200000000000003</v>
      </c>
      <c r="G269" s="57">
        <v>0.27700000000000002</v>
      </c>
      <c r="H269" s="57">
        <v>7.0999999999999994E-2</v>
      </c>
      <c r="I269" s="57">
        <v>2.1999999999999999E-2</v>
      </c>
      <c r="J269" s="57">
        <v>1.99</v>
      </c>
      <c r="K269" s="33">
        <f>AVERAGE(1.03,1.12,1.23,1.2)</f>
        <v>1.145</v>
      </c>
      <c r="L269" s="70">
        <v>44650</v>
      </c>
    </row>
    <row r="270" spans="1:12" x14ac:dyDescent="0.2">
      <c r="A270" s="57" t="s">
        <v>159</v>
      </c>
      <c r="B270" s="57">
        <v>2379</v>
      </c>
      <c r="C270" s="57">
        <v>1</v>
      </c>
      <c r="D270" s="57">
        <v>0</v>
      </c>
      <c r="F270" s="57">
        <v>1.024</v>
      </c>
      <c r="G270" s="57">
        <v>0.51500000000000001</v>
      </c>
      <c r="H270" s="57">
        <v>9.4E-2</v>
      </c>
      <c r="I270" s="57">
        <v>4.4999999999999998E-2</v>
      </c>
      <c r="J270" s="57">
        <v>1.47</v>
      </c>
      <c r="K270" s="33">
        <f>AVERAGE(1.15,1.14,1.39,1.41)</f>
        <v>1.2725</v>
      </c>
      <c r="L270" s="70">
        <v>44650</v>
      </c>
    </row>
    <row r="271" spans="1:12" x14ac:dyDescent="0.2">
      <c r="A271" s="57" t="s">
        <v>159</v>
      </c>
      <c r="B271" s="57">
        <v>2373</v>
      </c>
      <c r="C271" s="57">
        <v>3</v>
      </c>
      <c r="D271" s="57">
        <v>0</v>
      </c>
      <c r="F271" s="57">
        <v>0.37</v>
      </c>
      <c r="G271" s="57">
        <v>0.108</v>
      </c>
      <c r="H271" s="57">
        <v>6.4000000000000001E-2</v>
      </c>
      <c r="I271" s="57">
        <v>1.9E-2</v>
      </c>
      <c r="J271" s="57">
        <v>1.3</v>
      </c>
      <c r="K271" s="57" t="s">
        <v>60</v>
      </c>
      <c r="L271" s="70">
        <v>44650</v>
      </c>
    </row>
    <row r="272" spans="1:12" x14ac:dyDescent="0.2">
      <c r="A272" s="57" t="s">
        <v>159</v>
      </c>
      <c r="B272" s="57">
        <v>2360</v>
      </c>
      <c r="C272" s="57">
        <v>1</v>
      </c>
      <c r="D272" s="57">
        <v>0</v>
      </c>
      <c r="F272" s="57">
        <v>0.41199999999999998</v>
      </c>
      <c r="G272" s="57">
        <v>0.18</v>
      </c>
      <c r="H272" s="57">
        <v>2.5999999999999999E-2</v>
      </c>
      <c r="I272" s="57">
        <v>8.0000000000000002E-3</v>
      </c>
      <c r="J272" s="57">
        <v>0.83</v>
      </c>
      <c r="K272" s="57" t="s">
        <v>60</v>
      </c>
      <c r="L272" s="70">
        <v>44650</v>
      </c>
    </row>
    <row r="273" spans="1:12" x14ac:dyDescent="0.2">
      <c r="A273" s="57" t="s">
        <v>59</v>
      </c>
      <c r="B273" s="57">
        <v>2301</v>
      </c>
      <c r="C273" s="57">
        <v>3</v>
      </c>
      <c r="D273" s="57">
        <v>0</v>
      </c>
      <c r="F273" s="57">
        <v>0.23400000000000001</v>
      </c>
      <c r="G273" s="57">
        <v>0.13900000000000001</v>
      </c>
      <c r="H273" s="57">
        <v>4.2000000000000003E-2</v>
      </c>
      <c r="I273" s="57">
        <v>2.1999999999999999E-2</v>
      </c>
      <c r="J273" s="57">
        <v>1.02</v>
      </c>
      <c r="K273" s="57" t="s">
        <v>60</v>
      </c>
      <c r="L273" s="70">
        <v>44650</v>
      </c>
    </row>
    <row r="274" spans="1:12" x14ac:dyDescent="0.2">
      <c r="A274" s="57" t="s">
        <v>159</v>
      </c>
      <c r="B274" s="57">
        <v>2383</v>
      </c>
      <c r="C274" s="57">
        <v>3</v>
      </c>
      <c r="D274" s="57">
        <v>0</v>
      </c>
      <c r="F274" s="57">
        <v>0.751</v>
      </c>
      <c r="G274" s="57">
        <v>0.26900000000000002</v>
      </c>
      <c r="H274" s="57">
        <v>7.4999999999999997E-2</v>
      </c>
      <c r="I274" s="57">
        <v>3.2000000000000001E-2</v>
      </c>
      <c r="J274" s="57">
        <v>1.44</v>
      </c>
      <c r="K274" s="33">
        <f>AVERAGE(1.14,1.13,1.23,1.14)</f>
        <v>1.1599999999999999</v>
      </c>
      <c r="L274" s="70">
        <v>44650</v>
      </c>
    </row>
    <row r="275" spans="1:12" x14ac:dyDescent="0.2">
      <c r="A275" s="57" t="s">
        <v>159</v>
      </c>
      <c r="B275" s="57">
        <v>2020</v>
      </c>
      <c r="C275" s="57">
        <v>3</v>
      </c>
      <c r="D275" s="57">
        <v>0</v>
      </c>
      <c r="F275" s="57">
        <v>1.2230000000000001</v>
      </c>
      <c r="G275" s="57">
        <v>0.53900000000000003</v>
      </c>
      <c r="H275" s="57">
        <v>0.192</v>
      </c>
      <c r="I275" s="57">
        <v>7.0000000000000007E-2</v>
      </c>
      <c r="J275" s="57">
        <v>2.0699999999999998</v>
      </c>
      <c r="K275" s="33">
        <f>AVERAGE(1.35,1.27,1.7,1.47)</f>
        <v>1.4475</v>
      </c>
      <c r="L275" s="70">
        <v>44650</v>
      </c>
    </row>
    <row r="276" spans="1:12" x14ac:dyDescent="0.2">
      <c r="A276" s="57" t="s">
        <v>159</v>
      </c>
      <c r="B276" s="57">
        <v>2371</v>
      </c>
      <c r="C276" s="57">
        <v>2</v>
      </c>
      <c r="D276" s="57">
        <v>0</v>
      </c>
      <c r="F276" s="57">
        <v>0.53</v>
      </c>
      <c r="G276" s="57">
        <v>0.152</v>
      </c>
      <c r="H276" s="57">
        <v>3.9E-2</v>
      </c>
      <c r="I276" s="57">
        <v>1.2E-2</v>
      </c>
      <c r="J276" s="57">
        <v>1.05</v>
      </c>
      <c r="K276" s="57" t="s">
        <v>60</v>
      </c>
      <c r="L276" s="70">
        <v>44650</v>
      </c>
    </row>
    <row r="277" spans="1:12" x14ac:dyDescent="0.2">
      <c r="A277" s="57" t="s">
        <v>159</v>
      </c>
      <c r="B277" s="57">
        <v>2007</v>
      </c>
      <c r="C277" s="57">
        <v>2</v>
      </c>
      <c r="D277" s="57">
        <v>0</v>
      </c>
      <c r="F277" s="57">
        <v>0.37</v>
      </c>
      <c r="G277" s="57">
        <v>0.19400000000000001</v>
      </c>
      <c r="H277" s="57">
        <v>5.0999999999999997E-2</v>
      </c>
      <c r="I277" s="57">
        <v>2.1999999999999999E-2</v>
      </c>
      <c r="J277" s="57">
        <v>1.27</v>
      </c>
      <c r="K277" s="33">
        <f>AVERAGE(0.6,0.64,0.62,0.54)</f>
        <v>0.6</v>
      </c>
      <c r="L277" s="70">
        <v>44655</v>
      </c>
    </row>
    <row r="278" spans="1:12" x14ac:dyDescent="0.2">
      <c r="A278" s="57" t="s">
        <v>159</v>
      </c>
      <c r="B278" s="57">
        <v>2012</v>
      </c>
      <c r="C278" s="57">
        <v>2</v>
      </c>
      <c r="D278" s="57">
        <v>0</v>
      </c>
      <c r="F278" s="57">
        <v>0.34200000000000003</v>
      </c>
      <c r="G278" s="57">
        <v>0.126</v>
      </c>
      <c r="H278" s="57">
        <v>3.5999999999999997E-2</v>
      </c>
      <c r="I278" s="57">
        <v>1.2999999999999999E-2</v>
      </c>
      <c r="J278" s="57">
        <v>1.3</v>
      </c>
      <c r="K278" s="33">
        <f>AVERAGE(0.74,0.69,0.6,0.6)</f>
        <v>0.65749999999999997</v>
      </c>
      <c r="L278" s="70">
        <v>44655</v>
      </c>
    </row>
    <row r="279" spans="1:12" x14ac:dyDescent="0.2">
      <c r="A279" s="57" t="s">
        <v>159</v>
      </c>
      <c r="B279" s="57">
        <v>1478</v>
      </c>
      <c r="C279" s="57">
        <v>3</v>
      </c>
      <c r="D279" s="57">
        <v>0</v>
      </c>
      <c r="F279" s="57">
        <v>0.59599999999999997</v>
      </c>
      <c r="G279" s="57">
        <v>0.223</v>
      </c>
      <c r="H279" s="57">
        <v>0.112</v>
      </c>
      <c r="I279" s="57">
        <v>3.5999999999999997E-2</v>
      </c>
      <c r="J279" s="57">
        <v>2.98</v>
      </c>
      <c r="K279" s="33">
        <f>AVERAGE(0.97,1.55,1.21,0.99)</f>
        <v>1.18</v>
      </c>
      <c r="L279" s="70">
        <v>44655</v>
      </c>
    </row>
    <row r="280" spans="1:12" x14ac:dyDescent="0.2">
      <c r="A280" s="57" t="s">
        <v>159</v>
      </c>
      <c r="B280" s="57">
        <v>2031</v>
      </c>
      <c r="C280" s="57">
        <v>1</v>
      </c>
      <c r="D280" s="57">
        <v>0</v>
      </c>
      <c r="F280" s="57">
        <v>1.3979999999999999</v>
      </c>
      <c r="G280" s="57">
        <v>0.73199999999999998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</v>
      </c>
    </row>
    <row r="281" spans="1:12" x14ac:dyDescent="0.2">
      <c r="A281" s="57" t="s">
        <v>159</v>
      </c>
      <c r="B281" s="57">
        <v>2025</v>
      </c>
      <c r="C281" s="57">
        <v>2</v>
      </c>
      <c r="D281" s="57">
        <v>0</v>
      </c>
      <c r="F281" s="57">
        <v>0.79</v>
      </c>
      <c r="G281" s="57">
        <v>0.39600000000000002</v>
      </c>
      <c r="H281" s="57">
        <v>5.8999999999999997E-2</v>
      </c>
      <c r="I281" s="57">
        <v>2.5999999999999999E-2</v>
      </c>
      <c r="J281" s="57">
        <v>1.49</v>
      </c>
      <c r="K281" s="33">
        <f>AVERAGE(0.99,1.03,1.1,0.95)</f>
        <v>1.0175000000000001</v>
      </c>
      <c r="L281" s="70">
        <v>44655</v>
      </c>
    </row>
    <row r="282" spans="1:12" x14ac:dyDescent="0.2">
      <c r="A282" s="57" t="s">
        <v>159</v>
      </c>
      <c r="B282" s="57">
        <v>2026</v>
      </c>
      <c r="C282" s="57">
        <v>3</v>
      </c>
      <c r="D282" s="57">
        <v>0</v>
      </c>
      <c r="F282" s="57">
        <v>0.42</v>
      </c>
      <c r="G282" s="57">
        <v>0.216</v>
      </c>
      <c r="H282" s="57">
        <v>6.9000000000000006E-2</v>
      </c>
      <c r="I282" s="57">
        <v>3.2000000000000001E-2</v>
      </c>
      <c r="J282" s="57">
        <v>1.81</v>
      </c>
      <c r="K282" s="33">
        <f>AVERAGE(0.77,0.88,0.8,0.68)</f>
        <v>0.78250000000000008</v>
      </c>
      <c r="L282" s="70">
        <v>44655</v>
      </c>
    </row>
    <row r="283" spans="1:12" x14ac:dyDescent="0.2">
      <c r="A283" s="57" t="s">
        <v>59</v>
      </c>
      <c r="B283" s="57">
        <v>2022</v>
      </c>
      <c r="C283" s="57">
        <v>2</v>
      </c>
      <c r="D283" s="57">
        <v>1</v>
      </c>
      <c r="F283" s="57">
        <v>0.82899999999999996</v>
      </c>
      <c r="G283" s="57">
        <v>0.499</v>
      </c>
      <c r="H283" s="57">
        <v>9.0999999999999998E-2</v>
      </c>
      <c r="I283" s="57">
        <v>4.4999999999999998E-2</v>
      </c>
      <c r="J283" s="57">
        <v>2.2000000000000002</v>
      </c>
      <c r="K283" s="33">
        <f>AVERAGE(1.6,1.38,1.24,1.34)</f>
        <v>1.39</v>
      </c>
      <c r="L283" s="70">
        <v>44655</v>
      </c>
    </row>
    <row r="284" spans="1:12" x14ac:dyDescent="0.2">
      <c r="A284" s="57" t="s">
        <v>159</v>
      </c>
      <c r="B284" s="57">
        <v>2015</v>
      </c>
      <c r="C284" s="57">
        <v>3</v>
      </c>
      <c r="D284" s="57">
        <v>0</v>
      </c>
      <c r="F284" s="57">
        <v>0.61499999999999999</v>
      </c>
      <c r="G284" s="57">
        <v>0.30199999999999999</v>
      </c>
      <c r="H284" s="57">
        <v>8.8999999999999996E-2</v>
      </c>
      <c r="I284" s="57">
        <v>3.5000000000000003E-2</v>
      </c>
      <c r="J284" s="57">
        <v>2.65</v>
      </c>
      <c r="K284" s="33">
        <f>AVERAGE(0.99,1,0.93,1.02)</f>
        <v>0.98499999999999999</v>
      </c>
      <c r="L284" s="70">
        <v>44655</v>
      </c>
    </row>
    <row r="285" spans="1:12" x14ac:dyDescent="0.2">
      <c r="A285" s="57" t="s">
        <v>159</v>
      </c>
      <c r="B285" s="57">
        <v>2090</v>
      </c>
      <c r="C285" s="57">
        <v>1</v>
      </c>
      <c r="D285" s="57">
        <v>0</v>
      </c>
      <c r="F285" s="57">
        <v>0.69899999999999995</v>
      </c>
      <c r="G285" s="57">
        <v>0.31900000000000001</v>
      </c>
      <c r="H285" s="57">
        <v>8.8999999999999996E-2</v>
      </c>
      <c r="I285" s="57">
        <v>3.2000000000000001E-2</v>
      </c>
      <c r="J285" s="57">
        <v>2.08</v>
      </c>
      <c r="K285" s="33">
        <f>AVERAGE(1.03,0.91,0.95,0.91)</f>
        <v>0.95</v>
      </c>
      <c r="L285" s="70">
        <v>44655</v>
      </c>
    </row>
    <row r="286" spans="1:12" x14ac:dyDescent="0.2">
      <c r="A286" s="57" t="s">
        <v>59</v>
      </c>
      <c r="B286" s="57">
        <v>2030</v>
      </c>
      <c r="C286" s="57">
        <v>2</v>
      </c>
      <c r="D286" s="57">
        <v>1</v>
      </c>
      <c r="F286" s="57">
        <v>0.19800000000000001</v>
      </c>
      <c r="G286" s="57">
        <v>0.107</v>
      </c>
      <c r="H286" s="57">
        <v>1.7999999999999999E-2</v>
      </c>
      <c r="I286" s="57">
        <v>6.0000000000000001E-3</v>
      </c>
      <c r="J286" s="57">
        <v>0.86</v>
      </c>
      <c r="K286" s="33">
        <f>AVERAGE(0.64,0.58,0.53,0.54)</f>
        <v>0.57250000000000001</v>
      </c>
      <c r="L286" s="70">
        <v>44655</v>
      </c>
    </row>
    <row r="287" spans="1:12" x14ac:dyDescent="0.2">
      <c r="A287" s="57" t="s">
        <v>59</v>
      </c>
      <c r="B287" s="57">
        <v>2022</v>
      </c>
      <c r="C287" s="57">
        <v>1</v>
      </c>
      <c r="D287" s="57">
        <v>0</v>
      </c>
      <c r="F287" s="57">
        <v>2.6819999999999999</v>
      </c>
      <c r="G287" s="57">
        <v>1.41</v>
      </c>
      <c r="H287" s="57">
        <v>0.23300000000000001</v>
      </c>
      <c r="I287" s="57">
        <v>9.8000000000000004E-2</v>
      </c>
      <c r="J287" s="57">
        <v>4.0599999999999996</v>
      </c>
      <c r="K287" s="33">
        <f>AVERAGE(1.35,1.49,1.28,1.41)</f>
        <v>1.3825000000000001</v>
      </c>
      <c r="L287" s="70">
        <v>44655</v>
      </c>
    </row>
    <row r="288" spans="1:12" x14ac:dyDescent="0.2">
      <c r="A288" s="57" t="s">
        <v>159</v>
      </c>
      <c r="B288" s="57">
        <v>2088</v>
      </c>
      <c r="C288" s="57">
        <v>2</v>
      </c>
      <c r="D288" s="57">
        <v>0</v>
      </c>
      <c r="F288" s="57">
        <v>0.42199999999999999</v>
      </c>
      <c r="G288" s="57">
        <v>0.17899999999999999</v>
      </c>
      <c r="H288" s="57">
        <v>6.3E-2</v>
      </c>
      <c r="I288" s="57">
        <v>2.4E-2</v>
      </c>
      <c r="J288" s="57">
        <v>2.1</v>
      </c>
      <c r="K288" s="33">
        <f>AVERAGE(1.07,0.9,0.99,1.07)</f>
        <v>1.0075000000000001</v>
      </c>
      <c r="L288" s="70">
        <v>44655</v>
      </c>
    </row>
    <row r="289" spans="1:12" x14ac:dyDescent="0.2">
      <c r="A289" s="57" t="s">
        <v>59</v>
      </c>
      <c r="B289" s="57">
        <v>2093</v>
      </c>
      <c r="C289" s="57">
        <v>1</v>
      </c>
      <c r="D289" s="57">
        <v>0</v>
      </c>
      <c r="F289" s="57">
        <v>0.219</v>
      </c>
      <c r="G289" s="57">
        <v>0.14000000000000001</v>
      </c>
      <c r="H289" s="57">
        <v>7.2999999999999995E-2</v>
      </c>
      <c r="I289" s="57">
        <v>3.4000000000000002E-2</v>
      </c>
      <c r="J289" s="57">
        <v>1.75</v>
      </c>
      <c r="K289" s="33">
        <f>AVERAGE(0.89,0.9,0.89,0.93)</f>
        <v>0.90250000000000008</v>
      </c>
      <c r="L289" s="70">
        <v>44655</v>
      </c>
    </row>
    <row r="290" spans="1:12" x14ac:dyDescent="0.2">
      <c r="A290" s="57" t="s">
        <v>59</v>
      </c>
      <c r="B290" s="57">
        <v>2023</v>
      </c>
      <c r="C290" s="57">
        <v>3</v>
      </c>
      <c r="D290" s="57">
        <v>0</v>
      </c>
      <c r="F290" s="57">
        <v>1.893</v>
      </c>
      <c r="G290" s="57">
        <v>1.0269999999999999</v>
      </c>
      <c r="H290" s="57">
        <v>8.7999999999999995E-2</v>
      </c>
      <c r="I290" s="57">
        <v>4.1000000000000002E-2</v>
      </c>
      <c r="J290" s="57">
        <v>2.16</v>
      </c>
      <c r="K290" s="33">
        <f>AVERAGE(1.17,1.23,1.17,1.29)</f>
        <v>1.2149999999999999</v>
      </c>
      <c r="L290" s="70">
        <v>44655</v>
      </c>
    </row>
    <row r="291" spans="1:12" x14ac:dyDescent="0.2">
      <c r="A291" s="57" t="s">
        <v>159</v>
      </c>
      <c r="B291" s="57">
        <v>2007</v>
      </c>
      <c r="C291" s="57">
        <v>3</v>
      </c>
      <c r="D291" s="57">
        <v>0</v>
      </c>
      <c r="F291" s="57">
        <v>1.0229999999999999</v>
      </c>
      <c r="G291" s="57">
        <v>0.54</v>
      </c>
      <c r="H291" s="57">
        <v>0.19900000000000001</v>
      </c>
      <c r="I291" s="57">
        <v>9.0999999999999998E-2</v>
      </c>
      <c r="J291" s="57">
        <v>5.73</v>
      </c>
      <c r="K291" s="33">
        <f>AVERAGE(1.37,1.27,1.38,1.35)</f>
        <v>1.3424999999999998</v>
      </c>
      <c r="L291" s="70">
        <v>44655</v>
      </c>
    </row>
    <row r="292" spans="1:12" x14ac:dyDescent="0.2">
      <c r="A292" s="57" t="s">
        <v>159</v>
      </c>
      <c r="B292" s="57">
        <v>2024</v>
      </c>
      <c r="C292" s="57">
        <v>3</v>
      </c>
      <c r="D292" s="57">
        <v>0</v>
      </c>
      <c r="F292" s="57">
        <v>1.599</v>
      </c>
      <c r="G292" s="57">
        <v>0.78300000000000003</v>
      </c>
      <c r="H292" s="57">
        <v>0.13400000000000001</v>
      </c>
      <c r="I292" s="57">
        <v>6.0999999999999999E-2</v>
      </c>
      <c r="J292" s="57">
        <v>1.47</v>
      </c>
      <c r="K292" s="33">
        <f>AVERAGE(1.66,1.63,1.51,1.8)</f>
        <v>1.65</v>
      </c>
      <c r="L292" s="70">
        <v>44655</v>
      </c>
    </row>
    <row r="293" spans="1:12" x14ac:dyDescent="0.2">
      <c r="A293" s="57" t="s">
        <v>159</v>
      </c>
      <c r="B293" s="57">
        <v>2014</v>
      </c>
      <c r="C293" s="57">
        <v>2</v>
      </c>
      <c r="D293" s="57">
        <v>0</v>
      </c>
      <c r="F293" s="57">
        <v>0.69799999999999995</v>
      </c>
      <c r="G293" s="57">
        <v>0.30099999999999999</v>
      </c>
      <c r="H293" s="57">
        <v>0.113</v>
      </c>
      <c r="I293" s="57">
        <v>3.6999999999999998E-2</v>
      </c>
      <c r="J293" s="57">
        <v>2.92</v>
      </c>
      <c r="K293" s="33">
        <f>AVERAGE(0.93,0.94,1.18,0.95)</f>
        <v>1</v>
      </c>
      <c r="L293" s="70">
        <v>44655</v>
      </c>
    </row>
    <row r="294" spans="1:12" x14ac:dyDescent="0.2">
      <c r="A294" s="57" t="s">
        <v>159</v>
      </c>
      <c r="B294" s="57">
        <v>2012</v>
      </c>
      <c r="C294" s="57">
        <v>3</v>
      </c>
      <c r="D294" s="57">
        <v>0</v>
      </c>
      <c r="F294" s="57">
        <v>0.13100000000000001</v>
      </c>
      <c r="G294" s="57">
        <v>4.8000000000000001E-2</v>
      </c>
      <c r="H294" s="57">
        <v>1.4E-2</v>
      </c>
      <c r="I294" s="57">
        <v>5.0000000000000001E-3</v>
      </c>
      <c r="J294" s="57">
        <v>0.92</v>
      </c>
      <c r="K294" s="57" t="s">
        <v>60</v>
      </c>
      <c r="L294" s="70">
        <v>44655</v>
      </c>
    </row>
    <row r="295" spans="1:12" x14ac:dyDescent="0.2">
      <c r="A295" s="57" t="s">
        <v>59</v>
      </c>
      <c r="B295" s="57">
        <v>2089</v>
      </c>
      <c r="C295" s="57">
        <v>1</v>
      </c>
      <c r="D295" s="57">
        <v>1</v>
      </c>
      <c r="F295" s="57">
        <v>1.7609999999999999</v>
      </c>
      <c r="G295" s="57">
        <v>0.998</v>
      </c>
      <c r="H295" s="57">
        <v>0.26</v>
      </c>
      <c r="I295" s="57">
        <v>0.13600000000000001</v>
      </c>
      <c r="J295" s="57">
        <v>4.82</v>
      </c>
      <c r="K295" s="33">
        <f>AVERAGE(1.69,1.49,1.78,1.63)</f>
        <v>1.6475</v>
      </c>
      <c r="L295" s="70">
        <v>44655</v>
      </c>
    </row>
    <row r="296" spans="1:12" x14ac:dyDescent="0.2">
      <c r="A296" s="57" t="s">
        <v>59</v>
      </c>
      <c r="B296" s="57">
        <v>2023</v>
      </c>
      <c r="C296" s="57">
        <v>2</v>
      </c>
      <c r="D296" s="57">
        <v>1</v>
      </c>
      <c r="F296" s="57">
        <v>0.85699999999999998</v>
      </c>
      <c r="G296" s="57">
        <v>0.51200000000000001</v>
      </c>
      <c r="H296" s="57">
        <v>0.121</v>
      </c>
      <c r="I296" s="57">
        <v>6.2E-2</v>
      </c>
      <c r="J296" s="57">
        <v>1.53</v>
      </c>
      <c r="K296" s="33">
        <f>AVERAGE(1.75,1.85,1.92,2.03)</f>
        <v>1.8874999999999997</v>
      </c>
      <c r="L296" s="70">
        <v>44655</v>
      </c>
    </row>
    <row r="297" spans="1:12" x14ac:dyDescent="0.2">
      <c r="A297" s="57" t="s">
        <v>159</v>
      </c>
      <c r="B297" s="57">
        <v>2027</v>
      </c>
      <c r="C297" s="57">
        <v>2</v>
      </c>
      <c r="D297" s="57">
        <v>0</v>
      </c>
      <c r="F297" s="57">
        <v>1.0860000000000001</v>
      </c>
      <c r="G297" s="57">
        <v>0.54300000000000004</v>
      </c>
      <c r="H297" s="57">
        <v>8.6999999999999994E-2</v>
      </c>
      <c r="I297" s="57">
        <v>3.9E-2</v>
      </c>
      <c r="J297" s="57">
        <v>1.43</v>
      </c>
      <c r="K297" s="33">
        <f>AVERAGE(1.05,1.05,1.02,1)</f>
        <v>1.03</v>
      </c>
      <c r="L297" s="70">
        <v>44655</v>
      </c>
    </row>
    <row r="298" spans="1:12" x14ac:dyDescent="0.2">
      <c r="A298" s="57" t="s">
        <v>59</v>
      </c>
      <c r="B298" s="57">
        <v>2028</v>
      </c>
      <c r="C298" s="57">
        <v>1</v>
      </c>
      <c r="D298" s="57">
        <v>1</v>
      </c>
      <c r="F298" s="57">
        <v>3.5139999999999998</v>
      </c>
      <c r="G298" s="57">
        <v>1.8939999999999999</v>
      </c>
      <c r="H298" s="57">
        <v>0.17799999999999999</v>
      </c>
      <c r="I298" s="57">
        <v>0.08</v>
      </c>
      <c r="J298" s="57">
        <v>3.8</v>
      </c>
      <c r="K298" s="33">
        <f>AVERAGE(1.72,1.59,1.53,1.48)</f>
        <v>1.58</v>
      </c>
      <c r="L298" s="70">
        <v>44655</v>
      </c>
    </row>
    <row r="299" spans="1:12" x14ac:dyDescent="0.2">
      <c r="A299" s="57" t="s">
        <v>159</v>
      </c>
      <c r="B299" s="57">
        <v>2026</v>
      </c>
      <c r="C299" s="57">
        <v>1</v>
      </c>
      <c r="D299" s="57">
        <v>0</v>
      </c>
      <c r="F299" s="57">
        <v>0.82099999999999995</v>
      </c>
      <c r="G299" s="57">
        <v>0.42499999999999999</v>
      </c>
      <c r="H299" s="57">
        <v>0.128</v>
      </c>
      <c r="I299" s="57">
        <v>0.06</v>
      </c>
      <c r="J299" s="57">
        <v>2.4900000000000002</v>
      </c>
      <c r="K299" s="33">
        <f>AVERAGE(1.13,1.25,1.23,1.14)</f>
        <v>1.1875</v>
      </c>
      <c r="L299" s="70">
        <v>44655</v>
      </c>
    </row>
    <row r="300" spans="1:12" x14ac:dyDescent="0.2">
      <c r="A300" s="57" t="s">
        <v>159</v>
      </c>
      <c r="B300" s="57">
        <v>2028</v>
      </c>
      <c r="C300" s="57">
        <v>2</v>
      </c>
      <c r="D300" s="57">
        <v>0</v>
      </c>
      <c r="F300" s="57">
        <v>0.78200000000000003</v>
      </c>
      <c r="G300" s="57">
        <v>0.39700000000000002</v>
      </c>
      <c r="H300" s="57">
        <v>5.8999999999999997E-2</v>
      </c>
      <c r="I300" s="57">
        <v>2.5000000000000001E-2</v>
      </c>
      <c r="J300" s="57">
        <v>1.5</v>
      </c>
      <c r="K300" s="33">
        <f>AVERAGE(0.88,0.93,0.85,0.86)</f>
        <v>0.88</v>
      </c>
      <c r="L300" s="70">
        <v>44655</v>
      </c>
    </row>
    <row r="301" spans="1:12" x14ac:dyDescent="0.2">
      <c r="A301" s="57" t="s">
        <v>159</v>
      </c>
      <c r="B301" s="57">
        <v>2006</v>
      </c>
      <c r="C301" s="57">
        <v>3</v>
      </c>
      <c r="D301" s="57">
        <v>0</v>
      </c>
      <c r="F301" s="57">
        <v>0.443</v>
      </c>
      <c r="G301" s="57">
        <v>0.216</v>
      </c>
      <c r="H301" s="57">
        <v>2.5999999999999999E-2</v>
      </c>
      <c r="I301" s="57">
        <v>8.9999999999999993E-3</v>
      </c>
      <c r="J301" s="57">
        <v>0.66</v>
      </c>
      <c r="K301" s="57" t="s">
        <v>60</v>
      </c>
      <c r="L301" s="70">
        <v>44655</v>
      </c>
    </row>
    <row r="302" spans="1:12" x14ac:dyDescent="0.2">
      <c r="A302" s="57" t="s">
        <v>59</v>
      </c>
      <c r="B302" s="57">
        <v>2023</v>
      </c>
      <c r="C302" s="57">
        <v>1</v>
      </c>
      <c r="D302" s="57">
        <v>0</v>
      </c>
      <c r="F302" s="57">
        <v>2.298</v>
      </c>
      <c r="G302" s="57">
        <v>1.2210000000000001</v>
      </c>
      <c r="H302" s="57">
        <v>0.32500000000000001</v>
      </c>
      <c r="I302" s="57">
        <v>0.152</v>
      </c>
      <c r="J302" s="57">
        <v>6.26</v>
      </c>
      <c r="K302" s="33">
        <f>AVERAGE(1.59,1.48,1.44,1.52)</f>
        <v>1.5074999999999998</v>
      </c>
      <c r="L302" s="70">
        <v>44655</v>
      </c>
    </row>
    <row r="303" spans="1:12" x14ac:dyDescent="0.2">
      <c r="A303" s="57" t="s">
        <v>159</v>
      </c>
      <c r="B303" s="57">
        <v>2087</v>
      </c>
      <c r="C303" s="57">
        <v>2</v>
      </c>
      <c r="D303" s="57">
        <v>0</v>
      </c>
      <c r="F303" s="57">
        <v>0.753</v>
      </c>
      <c r="G303" s="57">
        <v>0.29799999999999999</v>
      </c>
      <c r="H303" s="57">
        <v>8.4000000000000005E-2</v>
      </c>
      <c r="I303" s="57">
        <v>3.1E-2</v>
      </c>
      <c r="J303" s="57">
        <v>1.55</v>
      </c>
      <c r="K303" s="33">
        <f>AVERAGE(0.91,1,0.73,0.7)</f>
        <v>0.83499999999999996</v>
      </c>
      <c r="L303" s="70">
        <v>44655</v>
      </c>
    </row>
    <row r="304" spans="1:12" x14ac:dyDescent="0.2">
      <c r="A304" s="57" t="s">
        <v>159</v>
      </c>
      <c r="B304" s="57">
        <v>2028</v>
      </c>
      <c r="C304" s="57">
        <v>3</v>
      </c>
      <c r="D304" s="57">
        <v>0</v>
      </c>
      <c r="F304" s="57">
        <v>0.51600000000000001</v>
      </c>
      <c r="G304" s="57">
        <v>0.27800000000000002</v>
      </c>
      <c r="H304" s="57">
        <v>4.4999999999999998E-2</v>
      </c>
      <c r="I304" s="57">
        <v>0.02</v>
      </c>
      <c r="J304" s="57">
        <v>1.19</v>
      </c>
      <c r="K304" s="33">
        <f>AVERAGE(0.92,0.91,1.05,0.95)</f>
        <v>0.95750000000000002</v>
      </c>
      <c r="L304" s="70">
        <v>44655</v>
      </c>
    </row>
    <row r="305" spans="1:12" x14ac:dyDescent="0.2">
      <c r="A305" s="57" t="s">
        <v>159</v>
      </c>
      <c r="B305" s="57">
        <v>2007</v>
      </c>
      <c r="C305" s="57">
        <v>1</v>
      </c>
      <c r="D305" s="57">
        <v>0</v>
      </c>
      <c r="F305" s="57">
        <v>0.61899999999999999</v>
      </c>
      <c r="G305" s="57">
        <v>0.32700000000000001</v>
      </c>
      <c r="H305" s="57">
        <v>6.4000000000000001E-2</v>
      </c>
      <c r="I305" s="57">
        <v>2.8000000000000001E-2</v>
      </c>
      <c r="J305" s="57">
        <v>1.9</v>
      </c>
      <c r="K305" s="33">
        <f>AVERAGE(0.73,1.02,1.01,0.82)</f>
        <v>0.89499999999999991</v>
      </c>
      <c r="L305" s="70">
        <v>44655</v>
      </c>
    </row>
    <row r="306" spans="1:12" x14ac:dyDescent="0.2">
      <c r="A306" s="57" t="s">
        <v>59</v>
      </c>
      <c r="B306" s="57">
        <v>2023</v>
      </c>
      <c r="C306" s="57">
        <v>2</v>
      </c>
      <c r="D306" s="57">
        <v>0</v>
      </c>
      <c r="E306" s="57" t="s">
        <v>160</v>
      </c>
      <c r="F306" s="57">
        <v>1.355</v>
      </c>
      <c r="G306" s="57">
        <v>0.72199999999999998</v>
      </c>
      <c r="H306" s="57">
        <v>0.223</v>
      </c>
      <c r="I306" s="57">
        <v>0.104</v>
      </c>
      <c r="J306" s="57">
        <v>5.21</v>
      </c>
      <c r="K306" s="33">
        <f>AVERAGE(1.08,1.5,1.29,1.32)</f>
        <v>1.2975000000000001</v>
      </c>
      <c r="L306" s="70">
        <v>44655</v>
      </c>
    </row>
    <row r="307" spans="1:12" x14ac:dyDescent="0.2">
      <c r="A307" s="57" t="s">
        <v>159</v>
      </c>
      <c r="B307" s="57">
        <v>2020</v>
      </c>
      <c r="C307" s="57">
        <v>2</v>
      </c>
      <c r="D307" s="57">
        <v>0</v>
      </c>
      <c r="F307" s="57">
        <v>0.52</v>
      </c>
      <c r="G307" s="57">
        <v>0.26400000000000001</v>
      </c>
      <c r="H307" s="57">
        <v>2.9000000000000001E-2</v>
      </c>
      <c r="I307" s="57">
        <v>1.2999999999999999E-2</v>
      </c>
      <c r="J307" s="57">
        <v>0.87</v>
      </c>
      <c r="K307" s="33">
        <f>AVERAGE(0.71,0.72,0.69,0.72)</f>
        <v>0.71</v>
      </c>
      <c r="L307" s="70">
        <v>44655</v>
      </c>
    </row>
    <row r="308" spans="1:12" x14ac:dyDescent="0.2">
      <c r="A308" s="57" t="s">
        <v>159</v>
      </c>
      <c r="B308" s="57">
        <v>2008</v>
      </c>
      <c r="C308" s="57">
        <v>1</v>
      </c>
      <c r="D308" s="57">
        <v>0</v>
      </c>
      <c r="F308" s="57">
        <v>0.73699999999999999</v>
      </c>
      <c r="G308" s="57">
        <v>0.38400000000000001</v>
      </c>
      <c r="H308" s="57">
        <v>0.05</v>
      </c>
      <c r="I308" s="57">
        <v>2.1999999999999999E-2</v>
      </c>
      <c r="J308" s="57">
        <v>1.76</v>
      </c>
      <c r="K308" s="33">
        <f>AVERAGE(0.84,0.89,0.81,0.79)</f>
        <v>0.83250000000000002</v>
      </c>
      <c r="L308" s="70">
        <v>44655</v>
      </c>
    </row>
    <row r="309" spans="1:12" x14ac:dyDescent="0.2">
      <c r="A309" s="57" t="s">
        <v>159</v>
      </c>
      <c r="B309" s="57">
        <v>2087</v>
      </c>
      <c r="C309" s="57">
        <v>1</v>
      </c>
      <c r="D309" s="57">
        <v>0</v>
      </c>
      <c r="F309" s="57">
        <v>1.65</v>
      </c>
      <c r="G309" s="57">
        <v>0.57699999999999996</v>
      </c>
      <c r="H309" s="57">
        <v>0.32300000000000001</v>
      </c>
      <c r="I309" s="57">
        <v>0.10100000000000001</v>
      </c>
      <c r="J309" s="57">
        <v>4.1500000000000004</v>
      </c>
      <c r="K309" s="33">
        <f>AVERAGE(1.3,1.3,1.29,1.37)</f>
        <v>1.3149999999999999</v>
      </c>
      <c r="L309" s="70">
        <v>44655</v>
      </c>
    </row>
    <row r="310" spans="1:12" x14ac:dyDescent="0.2">
      <c r="A310" s="57" t="s">
        <v>159</v>
      </c>
      <c r="B310" s="57">
        <v>2005</v>
      </c>
      <c r="C310" s="57">
        <v>3</v>
      </c>
      <c r="D310" s="57">
        <v>0</v>
      </c>
      <c r="F310" s="57">
        <v>1.046</v>
      </c>
      <c r="G310" s="57">
        <v>0.51500000000000001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</v>
      </c>
    </row>
    <row r="311" spans="1:12" x14ac:dyDescent="0.2">
      <c r="A311" s="57" t="s">
        <v>159</v>
      </c>
      <c r="B311" s="57">
        <v>2013</v>
      </c>
      <c r="C311" s="57">
        <v>3</v>
      </c>
      <c r="D311" s="57">
        <v>0</v>
      </c>
      <c r="F311" s="57">
        <v>0.65800000000000003</v>
      </c>
      <c r="G311" s="57">
        <v>0.20899999999999999</v>
      </c>
      <c r="H311" s="57">
        <v>0.17399999999999999</v>
      </c>
      <c r="I311" s="57">
        <v>5.3999999999999999E-2</v>
      </c>
      <c r="J311" s="57">
        <v>3.86</v>
      </c>
      <c r="K311" s="33">
        <f>AVERAGE(1.08,1.01,1.11,1.12)</f>
        <v>1.08</v>
      </c>
      <c r="L311" s="70">
        <v>44655</v>
      </c>
    </row>
    <row r="312" spans="1:12" x14ac:dyDescent="0.2">
      <c r="A312" s="57" t="s">
        <v>159</v>
      </c>
      <c r="B312" s="57">
        <v>2025</v>
      </c>
      <c r="C312" s="57">
        <v>3</v>
      </c>
      <c r="D312" s="57">
        <v>0</v>
      </c>
      <c r="F312" s="57">
        <v>0.73899999999999999</v>
      </c>
      <c r="G312" s="57">
        <v>0.39</v>
      </c>
      <c r="H312" s="57">
        <v>6.3E-2</v>
      </c>
      <c r="I312" s="57">
        <v>2.9000000000000001E-2</v>
      </c>
      <c r="J312" s="57">
        <v>1.67</v>
      </c>
      <c r="K312" s="33">
        <f>AVERAGE(1.51,1.18,1.34,1.16)</f>
        <v>1.2975000000000001</v>
      </c>
      <c r="L312" s="70">
        <v>44655</v>
      </c>
    </row>
    <row r="313" spans="1:12" x14ac:dyDescent="0.2">
      <c r="A313" s="57" t="s">
        <v>159</v>
      </c>
      <c r="B313" s="57">
        <v>2014</v>
      </c>
      <c r="C313" s="57">
        <v>1</v>
      </c>
      <c r="D313" s="57">
        <v>0</v>
      </c>
      <c r="F313" s="57">
        <v>0.83399999999999996</v>
      </c>
      <c r="G313" s="57">
        <v>0.34399999999999997</v>
      </c>
      <c r="H313" s="57">
        <v>0.20499999999999999</v>
      </c>
      <c r="I313" s="57">
        <v>6.9000000000000006E-2</v>
      </c>
      <c r="J313" s="57">
        <v>3.73</v>
      </c>
      <c r="K313" s="33">
        <f>AVERAGE(1.34,1.27,1.18,1.24)</f>
        <v>1.2575000000000001</v>
      </c>
      <c r="L313" s="70">
        <v>44655</v>
      </c>
    </row>
    <row r="314" spans="1:12" x14ac:dyDescent="0.2">
      <c r="A314" s="57" t="s">
        <v>159</v>
      </c>
      <c r="B314" s="57">
        <v>2031</v>
      </c>
      <c r="C314" s="57">
        <v>3</v>
      </c>
      <c r="D314" s="57">
        <v>0</v>
      </c>
      <c r="F314" s="57">
        <v>1.2070000000000001</v>
      </c>
      <c r="G314" s="57">
        <v>0.64700000000000002</v>
      </c>
      <c r="H314" s="57">
        <v>6.4000000000000001E-2</v>
      </c>
      <c r="I314" s="57">
        <v>3.2000000000000001E-2</v>
      </c>
      <c r="J314" s="57">
        <v>1.1000000000000001</v>
      </c>
      <c r="K314" s="33">
        <f>AVERAGE(1.38,1.27,1.24,1.23)</f>
        <v>1.2799999999999998</v>
      </c>
      <c r="L314" s="70">
        <v>44655</v>
      </c>
    </row>
    <row r="315" spans="1:12" x14ac:dyDescent="0.2">
      <c r="A315" s="57" t="s">
        <v>159</v>
      </c>
      <c r="B315" s="57">
        <v>2021</v>
      </c>
      <c r="C315" s="57">
        <v>3</v>
      </c>
      <c r="D315" s="57">
        <v>0</v>
      </c>
      <c r="F315" s="57">
        <v>0.376</v>
      </c>
      <c r="G315" s="57">
        <v>0.19800000000000001</v>
      </c>
      <c r="H315" s="57">
        <v>3.5999999999999997E-2</v>
      </c>
      <c r="I315" s="57">
        <v>1.6E-2</v>
      </c>
      <c r="J315" s="57">
        <v>1.07</v>
      </c>
      <c r="K315" s="33">
        <f>AVERAGE(0.98,0.61,0.97,0.85)</f>
        <v>0.85249999999999992</v>
      </c>
      <c r="L315" s="70">
        <v>44655</v>
      </c>
    </row>
    <row r="316" spans="1:12" x14ac:dyDescent="0.2">
      <c r="A316" s="57" t="s">
        <v>59</v>
      </c>
      <c r="B316" s="57">
        <v>2022</v>
      </c>
      <c r="C316" s="57">
        <v>3</v>
      </c>
      <c r="D316" s="57">
        <v>1</v>
      </c>
      <c r="F316" s="57">
        <v>0.77</v>
      </c>
      <c r="G316" s="57">
        <v>0.47099999999999997</v>
      </c>
      <c r="H316" s="57">
        <v>0.13200000000000001</v>
      </c>
      <c r="I316" s="57">
        <v>6.7000000000000004E-2</v>
      </c>
      <c r="J316" s="57">
        <v>3.45</v>
      </c>
      <c r="K316" s="33">
        <f>AVERAGE(1.46,1.58,1.48,1.5)</f>
        <v>1.5049999999999999</v>
      </c>
      <c r="L316" s="70">
        <v>44655</v>
      </c>
    </row>
    <row r="317" spans="1:12" x14ac:dyDescent="0.2">
      <c r="A317" s="57" t="s">
        <v>159</v>
      </c>
      <c r="B317" s="57">
        <v>2013</v>
      </c>
      <c r="C317" s="57">
        <v>1</v>
      </c>
      <c r="D317" s="57">
        <v>0</v>
      </c>
      <c r="F317" s="57">
        <v>0.53600000000000003</v>
      </c>
      <c r="G317" s="57">
        <v>0.17699999999999999</v>
      </c>
      <c r="H317" s="57">
        <v>0.16500000000000001</v>
      </c>
      <c r="I317" s="57">
        <v>4.9000000000000002E-2</v>
      </c>
      <c r="J317" s="57">
        <v>4.25</v>
      </c>
      <c r="K317" s="33">
        <f>AVERAGE(0.94,0.98,0.99,1)</f>
        <v>0.97750000000000004</v>
      </c>
      <c r="L317" s="70">
        <v>44655</v>
      </c>
    </row>
    <row r="318" spans="1:12" x14ac:dyDescent="0.2">
      <c r="A318" s="57" t="s">
        <v>59</v>
      </c>
      <c r="B318" s="57">
        <v>2091</v>
      </c>
      <c r="C318" s="57">
        <v>3</v>
      </c>
      <c r="D318" s="57">
        <v>1</v>
      </c>
      <c r="F318" s="57">
        <v>1.514</v>
      </c>
      <c r="G318" s="57">
        <v>0.92</v>
      </c>
      <c r="H318" s="57">
        <v>0.29599999999999999</v>
      </c>
      <c r="I318" s="57">
        <v>0.161</v>
      </c>
      <c r="J318" s="57">
        <v>4.8899999999999997</v>
      </c>
      <c r="K318" s="33">
        <f>AVERAGE(1.63,1.84,1.91,1.8)</f>
        <v>1.7949999999999999</v>
      </c>
      <c r="L318" s="70">
        <v>44655</v>
      </c>
    </row>
    <row r="319" spans="1:12" x14ac:dyDescent="0.2">
      <c r="A319" s="57" t="s">
        <v>59</v>
      </c>
      <c r="B319" s="57">
        <v>2089</v>
      </c>
      <c r="C319" s="57">
        <v>2</v>
      </c>
      <c r="D319" s="57">
        <v>1</v>
      </c>
      <c r="F319" s="57">
        <v>0.86499999999999999</v>
      </c>
      <c r="G319" s="57">
        <v>0.52500000000000002</v>
      </c>
      <c r="H319" s="57">
        <v>5.2999999999999999E-2</v>
      </c>
      <c r="I319" s="57">
        <v>3.1E-2</v>
      </c>
      <c r="J319" s="57">
        <v>2.31</v>
      </c>
      <c r="K319" s="33">
        <f>AVERAGE(0.98,0.99,0.94,1.11)</f>
        <v>1.0050000000000001</v>
      </c>
      <c r="L319" s="70">
        <v>44655</v>
      </c>
    </row>
    <row r="320" spans="1:12" x14ac:dyDescent="0.2">
      <c r="A320" s="57" t="s">
        <v>59</v>
      </c>
      <c r="B320" s="57">
        <v>2089</v>
      </c>
      <c r="C320" s="57">
        <v>3</v>
      </c>
      <c r="D320" s="57">
        <v>1</v>
      </c>
      <c r="F320" s="57">
        <v>2.0470000000000002</v>
      </c>
      <c r="G320" s="57">
        <v>1.2470000000000001</v>
      </c>
      <c r="H320" s="57">
        <v>0.56599999999999995</v>
      </c>
      <c r="I320" s="57">
        <v>0.316</v>
      </c>
      <c r="J320" s="57">
        <v>7.34</v>
      </c>
      <c r="K320" s="33">
        <f>AVERAGE(1.94,1.89,1.92,1.89)</f>
        <v>1.91</v>
      </c>
      <c r="L320" s="70">
        <v>44655</v>
      </c>
    </row>
    <row r="321" spans="1:12" x14ac:dyDescent="0.2">
      <c r="A321" s="57" t="s">
        <v>59</v>
      </c>
      <c r="B321" s="57">
        <v>2092</v>
      </c>
      <c r="C321" s="57">
        <v>2</v>
      </c>
      <c r="D321" s="57">
        <v>1</v>
      </c>
      <c r="F321" s="57">
        <v>1.6259999999999999</v>
      </c>
      <c r="G321" s="57">
        <v>0.95699999999999996</v>
      </c>
      <c r="H321" s="57">
        <v>0.14599999999999999</v>
      </c>
      <c r="I321" s="57">
        <v>7.6999999999999999E-2</v>
      </c>
      <c r="J321" s="57">
        <v>3.23</v>
      </c>
      <c r="K321" s="33">
        <f>AVERAGE(1.26,1.25,1.23,1.34)</f>
        <v>1.27</v>
      </c>
      <c r="L321" s="70">
        <v>44655</v>
      </c>
    </row>
    <row r="322" spans="1:12" x14ac:dyDescent="0.2">
      <c r="A322" s="57" t="s">
        <v>159</v>
      </c>
      <c r="B322" s="57">
        <v>2012</v>
      </c>
      <c r="C322" s="57">
        <v>1</v>
      </c>
      <c r="D322" s="57">
        <v>0</v>
      </c>
      <c r="F322" s="57">
        <v>0.35499999999999998</v>
      </c>
      <c r="G322" s="57">
        <v>0.14099999999999999</v>
      </c>
      <c r="H322" s="57">
        <v>1.9E-2</v>
      </c>
      <c r="I322" s="57">
        <v>7.0000000000000001E-3</v>
      </c>
      <c r="J322" s="57">
        <v>0.5</v>
      </c>
      <c r="K322" s="57" t="s">
        <v>60</v>
      </c>
      <c r="L322" s="70">
        <v>44655</v>
      </c>
    </row>
    <row r="323" spans="1:12" x14ac:dyDescent="0.2">
      <c r="A323" s="57" t="s">
        <v>159</v>
      </c>
      <c r="B323" s="57">
        <v>2085</v>
      </c>
      <c r="C323" s="57">
        <v>1</v>
      </c>
      <c r="D323" s="57">
        <v>0</v>
      </c>
      <c r="F323" s="57">
        <v>0.38200000000000001</v>
      </c>
      <c r="G323" s="57">
        <v>0.14199999999999999</v>
      </c>
      <c r="H323" s="57">
        <v>4.8000000000000001E-2</v>
      </c>
      <c r="I323" s="57">
        <v>1.7999999999999999E-2</v>
      </c>
      <c r="J323" s="57">
        <v>1.22</v>
      </c>
      <c r="K323" s="33">
        <f>AVERAGE(1.04,1.1,0.94,0.97)</f>
        <v>1.0125</v>
      </c>
      <c r="L323" s="70">
        <v>44655</v>
      </c>
    </row>
    <row r="324" spans="1:12" x14ac:dyDescent="0.2">
      <c r="A324" s="57" t="s">
        <v>159</v>
      </c>
      <c r="B324" s="57">
        <v>2008</v>
      </c>
      <c r="C324" s="57">
        <v>3</v>
      </c>
      <c r="D324" s="57">
        <v>0</v>
      </c>
      <c r="F324" s="57">
        <v>0.67800000000000005</v>
      </c>
      <c r="G324" s="57">
        <v>0.35699999999999998</v>
      </c>
      <c r="H324" s="57">
        <v>5.5E-2</v>
      </c>
      <c r="I324" s="57">
        <v>2.4E-2</v>
      </c>
      <c r="J324" s="57">
        <v>1.55</v>
      </c>
      <c r="K324" s="33">
        <f>AVERAGE(0.8,0.76,0.92,0.72)</f>
        <v>0.8</v>
      </c>
      <c r="L324" s="70">
        <v>44655</v>
      </c>
    </row>
    <row r="325" spans="1:12" x14ac:dyDescent="0.2">
      <c r="A325" s="57" t="s">
        <v>159</v>
      </c>
      <c r="B325" s="57">
        <v>2086</v>
      </c>
      <c r="C325" s="57">
        <v>1</v>
      </c>
      <c r="D325" s="57">
        <v>0</v>
      </c>
      <c r="F325" s="57">
        <v>1.2909999999999999</v>
      </c>
      <c r="G325" s="57">
        <v>0.54600000000000004</v>
      </c>
      <c r="H325" s="57">
        <v>0.217</v>
      </c>
      <c r="I325" s="57">
        <v>8.4000000000000005E-2</v>
      </c>
      <c r="J325" s="57">
        <v>3.06</v>
      </c>
      <c r="K325" s="33">
        <f>AVERAGE(1.21,1.32,1.27,1.51)</f>
        <v>1.3275000000000001</v>
      </c>
      <c r="L325" s="70">
        <v>44655</v>
      </c>
    </row>
    <row r="326" spans="1:12" x14ac:dyDescent="0.2">
      <c r="A326" s="57" t="s">
        <v>159</v>
      </c>
      <c r="B326" s="57">
        <v>2021</v>
      </c>
      <c r="C326" s="57">
        <v>1</v>
      </c>
      <c r="D326" s="57">
        <v>0</v>
      </c>
      <c r="F326" s="57">
        <v>0.71299999999999997</v>
      </c>
      <c r="G326" s="57">
        <v>0.372</v>
      </c>
      <c r="H326" s="57">
        <v>4.2999999999999997E-2</v>
      </c>
      <c r="I326" s="57">
        <v>1.9E-2</v>
      </c>
      <c r="J326" s="57">
        <v>1.08</v>
      </c>
      <c r="K326" s="33">
        <f>AVERAGE(0.81,0.76,0.71,0.92)</f>
        <v>0.8</v>
      </c>
      <c r="L326" s="70">
        <v>44655</v>
      </c>
    </row>
    <row r="327" spans="1:12" x14ac:dyDescent="0.2">
      <c r="A327" s="57" t="s">
        <v>159</v>
      </c>
      <c r="B327" s="57">
        <v>1478</v>
      </c>
      <c r="C327" s="57">
        <v>2</v>
      </c>
      <c r="D327" s="57">
        <v>0</v>
      </c>
      <c r="F327" s="57">
        <v>0.73</v>
      </c>
      <c r="G327" s="57">
        <v>0.249</v>
      </c>
      <c r="H327" s="57">
        <v>0.111</v>
      </c>
      <c r="I327" s="57">
        <v>3.3000000000000002E-2</v>
      </c>
      <c r="J327" s="57">
        <v>2.65</v>
      </c>
      <c r="K327" s="33">
        <f>AVERAGE(0.91,0.91,1.06,1.11)</f>
        <v>0.99750000000000005</v>
      </c>
      <c r="L327" s="70">
        <v>44655</v>
      </c>
    </row>
    <row r="328" spans="1:12" x14ac:dyDescent="0.2">
      <c r="A328" s="57" t="s">
        <v>159</v>
      </c>
      <c r="B328" s="57">
        <v>2088</v>
      </c>
      <c r="C328" s="57">
        <v>3</v>
      </c>
      <c r="D328" s="57">
        <v>0</v>
      </c>
      <c r="F328" s="57">
        <v>0.76</v>
      </c>
      <c r="G328" s="57">
        <v>0.316</v>
      </c>
      <c r="H328" s="57">
        <v>9.5000000000000001E-2</v>
      </c>
      <c r="I328" s="57">
        <v>3.4000000000000002E-2</v>
      </c>
      <c r="J328" s="57">
        <v>2.39</v>
      </c>
      <c r="K328" s="33">
        <f>AVERAGE(1.14,1.09,1,0.98)</f>
        <v>1.0525</v>
      </c>
      <c r="L328" s="70">
        <v>44655</v>
      </c>
    </row>
    <row r="329" spans="1:12" x14ac:dyDescent="0.2">
      <c r="A329" s="57" t="s">
        <v>59</v>
      </c>
      <c r="B329" s="57">
        <v>2091</v>
      </c>
      <c r="C329" s="57">
        <v>1</v>
      </c>
      <c r="D329" s="57">
        <v>1</v>
      </c>
      <c r="F329" s="57">
        <v>1.337</v>
      </c>
      <c r="G329" s="57">
        <v>0.80700000000000005</v>
      </c>
      <c r="H329" s="57">
        <v>0.157</v>
      </c>
      <c r="I329" s="57">
        <v>0.09</v>
      </c>
      <c r="J329" s="57">
        <v>3.69</v>
      </c>
      <c r="K329" s="33">
        <f>AVERAGE(1.48,1.52,1.49,1.54)</f>
        <v>1.5075000000000001</v>
      </c>
      <c r="L329" s="70">
        <v>44655</v>
      </c>
    </row>
    <row r="330" spans="1:12" x14ac:dyDescent="0.2">
      <c r="A330" s="57" t="s">
        <v>159</v>
      </c>
      <c r="B330" s="57">
        <v>2028</v>
      </c>
      <c r="C330" s="57">
        <v>1</v>
      </c>
      <c r="D330" s="57">
        <v>0</v>
      </c>
      <c r="F330" s="57">
        <v>0.96099999999999997</v>
      </c>
      <c r="G330" s="57">
        <v>0.52100000000000002</v>
      </c>
      <c r="H330" s="57">
        <v>0.125</v>
      </c>
      <c r="I330" s="57">
        <v>5.5E-2</v>
      </c>
      <c r="J330" s="57">
        <v>2.5299999999999998</v>
      </c>
      <c r="K330" s="33">
        <f>AVERAGE(1.23,1.17,1.21,1.22)</f>
        <v>1.2075</v>
      </c>
      <c r="L330" s="70">
        <v>44655</v>
      </c>
    </row>
    <row r="331" spans="1:12" x14ac:dyDescent="0.2">
      <c r="A331" s="57" t="s">
        <v>59</v>
      </c>
      <c r="B331" s="57">
        <v>2023</v>
      </c>
      <c r="C331" s="57">
        <v>2</v>
      </c>
      <c r="D331" s="57">
        <v>0</v>
      </c>
      <c r="E331" s="57" t="s">
        <v>161</v>
      </c>
      <c r="F331" s="57">
        <v>1.452</v>
      </c>
      <c r="G331" s="57">
        <v>0.76</v>
      </c>
      <c r="H331" s="57">
        <v>0.22900000000000001</v>
      </c>
      <c r="I331" s="57">
        <v>0.10299999999999999</v>
      </c>
      <c r="J331" s="57">
        <v>5.63</v>
      </c>
      <c r="K331" s="33">
        <f>AVERAGE(1.44,1.13,1.33,1.34)</f>
        <v>1.31</v>
      </c>
      <c r="L331" s="70">
        <v>44655</v>
      </c>
    </row>
    <row r="332" spans="1:12" x14ac:dyDescent="0.2">
      <c r="A332" s="57" t="s">
        <v>59</v>
      </c>
      <c r="B332" s="57">
        <v>2030</v>
      </c>
      <c r="C332" s="57">
        <v>3</v>
      </c>
      <c r="D332" s="57">
        <v>1</v>
      </c>
      <c r="F332" s="57">
        <v>1.212</v>
      </c>
      <c r="G332" s="57">
        <v>0.67</v>
      </c>
      <c r="H332" s="57">
        <v>8.1000000000000003E-2</v>
      </c>
      <c r="I332" s="57">
        <v>0.04</v>
      </c>
      <c r="J332" s="57">
        <v>2.4</v>
      </c>
      <c r="K332" s="33">
        <f>AVERAGE(1.02,1.05,1.04,1.15)</f>
        <v>1.0649999999999999</v>
      </c>
      <c r="L332" s="70">
        <v>44655</v>
      </c>
    </row>
    <row r="333" spans="1:12" x14ac:dyDescent="0.2">
      <c r="A333" s="57" t="s">
        <v>159</v>
      </c>
      <c r="B333" s="57">
        <v>2008</v>
      </c>
      <c r="C333" s="57">
        <v>2</v>
      </c>
      <c r="D333" s="57">
        <v>0</v>
      </c>
      <c r="F333" s="57">
        <v>0.94199999999999995</v>
      </c>
      <c r="G333" s="57">
        <v>0.48</v>
      </c>
      <c r="H333" s="57">
        <v>5.2999999999999999E-2</v>
      </c>
      <c r="I333" s="57">
        <v>2.3E-2</v>
      </c>
      <c r="J333" s="57">
        <v>1.43</v>
      </c>
      <c r="K333" s="33">
        <f>AVERAGE(0.9,1.01,1.07,0.91)</f>
        <v>0.97250000000000014</v>
      </c>
      <c r="L333" s="70">
        <v>44655</v>
      </c>
    </row>
    <row r="334" spans="1:12" x14ac:dyDescent="0.2">
      <c r="A334" s="57" t="s">
        <v>59</v>
      </c>
      <c r="B334" s="57">
        <v>2092</v>
      </c>
      <c r="C334" s="57">
        <v>3</v>
      </c>
      <c r="D334" s="57">
        <v>1</v>
      </c>
      <c r="F334" s="57">
        <v>0.95899999999999996</v>
      </c>
      <c r="G334" s="57">
        <v>0.58799999999999997</v>
      </c>
      <c r="H334" s="57">
        <v>0.29399999999999998</v>
      </c>
      <c r="I334" s="57">
        <v>0.14799999999999999</v>
      </c>
      <c r="J334" s="57">
        <v>5.04</v>
      </c>
      <c r="K334" s="33">
        <f>AVERAGE(1.91,1.77,1.98,1.83)</f>
        <v>1.8725000000000001</v>
      </c>
      <c r="L334" s="70">
        <v>44655</v>
      </c>
    </row>
    <row r="335" spans="1:12" x14ac:dyDescent="0.2">
      <c r="A335" s="57" t="s">
        <v>159</v>
      </c>
      <c r="B335" s="57">
        <v>2025</v>
      </c>
      <c r="C335" s="57">
        <v>1</v>
      </c>
      <c r="D335" s="57">
        <v>0</v>
      </c>
      <c r="F335" s="57">
        <v>0.48299999999999998</v>
      </c>
      <c r="G335" s="57">
        <v>0.248</v>
      </c>
      <c r="H335" s="57">
        <v>3.6999999999999998E-2</v>
      </c>
      <c r="I335" s="57">
        <v>1.7000000000000001E-2</v>
      </c>
      <c r="J335" s="57">
        <v>1.29</v>
      </c>
      <c r="K335" s="33">
        <f>AVERAGE(0.84,0.81,0.73,0.8)</f>
        <v>0.79499999999999993</v>
      </c>
      <c r="L335" s="70">
        <v>44655</v>
      </c>
    </row>
    <row r="336" spans="1:12" x14ac:dyDescent="0.2">
      <c r="A336" s="57" t="s">
        <v>59</v>
      </c>
      <c r="B336" s="57">
        <v>2022</v>
      </c>
      <c r="C336" s="57">
        <v>2</v>
      </c>
      <c r="D336" s="57">
        <v>0</v>
      </c>
      <c r="F336" s="57">
        <v>0.124</v>
      </c>
      <c r="G336" s="57">
        <v>6.3E-2</v>
      </c>
      <c r="H336" s="57">
        <v>1.4E-2</v>
      </c>
      <c r="I336" s="57">
        <v>5.0000000000000001E-3</v>
      </c>
      <c r="J336" s="57">
        <v>0.55000000000000004</v>
      </c>
      <c r="K336" s="57" t="s">
        <v>60</v>
      </c>
      <c r="L336" s="70">
        <v>44655</v>
      </c>
    </row>
    <row r="337" spans="1:12" x14ac:dyDescent="0.2">
      <c r="A337" s="57" t="s">
        <v>59</v>
      </c>
      <c r="B337" s="57">
        <v>2022</v>
      </c>
      <c r="C337" s="57">
        <v>3</v>
      </c>
      <c r="D337" s="57">
        <v>0</v>
      </c>
      <c r="F337" s="57">
        <v>0.22600000000000001</v>
      </c>
      <c r="G337" s="57">
        <v>0.11700000000000001</v>
      </c>
      <c r="H337" s="57">
        <v>4.3999999999999997E-2</v>
      </c>
      <c r="I337" s="57">
        <v>1.7999999999999999E-2</v>
      </c>
      <c r="J337" s="57">
        <v>1.73</v>
      </c>
      <c r="K337" s="33">
        <f>AVERAGE(0.62,0.59,0.62,0.53)</f>
        <v>0.59000000000000008</v>
      </c>
      <c r="L337" s="70">
        <v>44655</v>
      </c>
    </row>
    <row r="338" spans="1:12" x14ac:dyDescent="0.2">
      <c r="A338" s="57" t="s">
        <v>59</v>
      </c>
      <c r="B338" s="57">
        <v>2023</v>
      </c>
      <c r="C338" s="57">
        <v>1</v>
      </c>
      <c r="D338" s="57">
        <v>1</v>
      </c>
      <c r="F338" s="57">
        <v>3.5289999999999999</v>
      </c>
      <c r="G338" s="57">
        <v>2.0720000000000001</v>
      </c>
      <c r="H338" s="57">
        <v>0.57299999999999995</v>
      </c>
      <c r="I338" s="57">
        <v>0.28899999999999998</v>
      </c>
      <c r="J338" s="57">
        <v>6.83</v>
      </c>
      <c r="K338" s="33">
        <f>AVERAGE(2.22,2.32,2.15,2.12)</f>
        <v>2.2024999999999997</v>
      </c>
      <c r="L338" s="70">
        <v>44655</v>
      </c>
    </row>
    <row r="339" spans="1:12" x14ac:dyDescent="0.2">
      <c r="A339" s="57" t="s">
        <v>159</v>
      </c>
      <c r="B339" s="57">
        <v>2087</v>
      </c>
      <c r="C339" s="57">
        <v>3</v>
      </c>
      <c r="D339" s="57">
        <v>0</v>
      </c>
      <c r="F339" s="57">
        <v>0.83799999999999997</v>
      </c>
      <c r="G339" s="57">
        <v>0.33200000000000002</v>
      </c>
      <c r="H339" s="57">
        <v>7.9000000000000001E-2</v>
      </c>
      <c r="I339" s="57">
        <v>0.03</v>
      </c>
      <c r="J339" s="57">
        <v>1.79</v>
      </c>
      <c r="K339" s="33">
        <f>AVERAGE(1.08,1.11,1.06,1.03)</f>
        <v>1.07</v>
      </c>
      <c r="L339" s="70">
        <v>44655</v>
      </c>
    </row>
    <row r="340" spans="1:12" x14ac:dyDescent="0.2">
      <c r="A340" s="57" t="s">
        <v>159</v>
      </c>
      <c r="B340" s="57">
        <v>2004</v>
      </c>
      <c r="C340" s="57">
        <v>1</v>
      </c>
      <c r="D340" s="57">
        <v>0</v>
      </c>
      <c r="F340" s="57">
        <v>1.157</v>
      </c>
      <c r="G340" s="57">
        <v>0.58499999999999996</v>
      </c>
      <c r="H340" s="57">
        <v>0.32500000000000001</v>
      </c>
      <c r="I340" s="57">
        <v>0.14299999999999999</v>
      </c>
      <c r="J340" s="57">
        <v>5.25</v>
      </c>
      <c r="K340" s="33">
        <f>AVERAGE(1.53,1.57,1.55,1.58)</f>
        <v>1.5575000000000001</v>
      </c>
      <c r="L340" s="70">
        <v>44655</v>
      </c>
    </row>
    <row r="341" spans="1:12" x14ac:dyDescent="0.2">
      <c r="A341" s="57" t="s">
        <v>159</v>
      </c>
      <c r="B341" s="57">
        <v>2006</v>
      </c>
      <c r="C341" s="57">
        <v>1</v>
      </c>
      <c r="D341" s="57">
        <v>0</v>
      </c>
      <c r="F341" s="57">
        <v>0.73699999999999999</v>
      </c>
      <c r="G341" s="57">
        <v>0.36199999999999999</v>
      </c>
      <c r="H341" s="57">
        <v>0.03</v>
      </c>
      <c r="I341" s="57">
        <v>1.2999999999999999E-2</v>
      </c>
      <c r="J341" s="57">
        <v>0.81</v>
      </c>
      <c r="K341" s="33">
        <f>AVERAGE(1.14,1.12,1.09,1.02)</f>
        <v>1.0924999999999998</v>
      </c>
      <c r="L341" s="70">
        <v>44655</v>
      </c>
    </row>
    <row r="342" spans="1:12" x14ac:dyDescent="0.2">
      <c r="A342" s="57" t="s">
        <v>59</v>
      </c>
      <c r="B342" s="57">
        <v>2093</v>
      </c>
      <c r="C342" s="57">
        <v>1</v>
      </c>
      <c r="D342" s="57">
        <v>1</v>
      </c>
      <c r="F342" s="57">
        <v>2.66</v>
      </c>
      <c r="G342" s="57">
        <v>1.6759999999999999</v>
      </c>
      <c r="H342" s="57">
        <v>0.53400000000000003</v>
      </c>
      <c r="I342" s="57">
        <v>0.308</v>
      </c>
      <c r="J342" s="57">
        <v>8.26</v>
      </c>
      <c r="K342" s="33">
        <f>AVERAGE(2.05,1.96,1.78,1.81)</f>
        <v>1.9</v>
      </c>
      <c r="L342" s="70">
        <v>44655</v>
      </c>
    </row>
    <row r="343" spans="1:12" x14ac:dyDescent="0.2">
      <c r="A343" s="57" t="s">
        <v>159</v>
      </c>
      <c r="B343" s="57">
        <v>2004</v>
      </c>
      <c r="C343" s="57">
        <v>3</v>
      </c>
      <c r="D343" s="57">
        <v>0</v>
      </c>
      <c r="F343" s="57">
        <v>0.58299999999999996</v>
      </c>
      <c r="G343" s="57">
        <v>0.30499999999999999</v>
      </c>
      <c r="H343" s="57">
        <v>7.4999999999999997E-2</v>
      </c>
      <c r="I343" s="57">
        <v>3.4000000000000002E-2</v>
      </c>
      <c r="J343" s="57">
        <v>1.93</v>
      </c>
      <c r="K343" s="33">
        <f>AVERAGE(0.96,1.09,1.04,0.88)</f>
        <v>0.99249999999999994</v>
      </c>
      <c r="L343" s="70">
        <v>44655</v>
      </c>
    </row>
    <row r="344" spans="1:12" x14ac:dyDescent="0.2">
      <c r="A344" s="57" t="s">
        <v>159</v>
      </c>
      <c r="B344" s="57">
        <v>2021</v>
      </c>
      <c r="C344" s="57">
        <v>2</v>
      </c>
      <c r="D344" s="57">
        <v>0</v>
      </c>
      <c r="F344" s="57">
        <v>0.93600000000000005</v>
      </c>
      <c r="G344" s="57">
        <v>0.49399999999999999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</v>
      </c>
    </row>
    <row r="345" spans="1:12" x14ac:dyDescent="0.2">
      <c r="A345" s="57" t="s">
        <v>159</v>
      </c>
      <c r="B345" s="57">
        <v>2024</v>
      </c>
      <c r="C345" s="57">
        <v>1</v>
      </c>
      <c r="D345" s="57">
        <v>0</v>
      </c>
      <c r="F345" s="57">
        <v>1.3149999999999999</v>
      </c>
      <c r="G345" s="57">
        <v>0.64400000000000002</v>
      </c>
      <c r="H345" s="57">
        <v>0.17499999999999999</v>
      </c>
      <c r="I345" s="57">
        <v>7.6999999999999999E-2</v>
      </c>
      <c r="J345" s="57">
        <v>2.35</v>
      </c>
      <c r="K345" s="33">
        <f>AVERAGE(1.38,1.37,1.35,1.39)</f>
        <v>1.3724999999999998</v>
      </c>
      <c r="L345" s="70">
        <v>44655</v>
      </c>
    </row>
    <row r="346" spans="1:12" x14ac:dyDescent="0.2">
      <c r="A346" s="57" t="s">
        <v>59</v>
      </c>
      <c r="B346" s="57">
        <v>2093</v>
      </c>
      <c r="C346" s="57">
        <v>3</v>
      </c>
      <c r="D346" s="57">
        <v>1</v>
      </c>
      <c r="F346" s="57">
        <v>1.4359999999999999</v>
      </c>
      <c r="G346" s="57">
        <v>0.91</v>
      </c>
      <c r="H346" s="57">
        <v>0.254</v>
      </c>
      <c r="I346" s="57">
        <v>0.14599999999999999</v>
      </c>
      <c r="J346" s="57">
        <v>5.66</v>
      </c>
      <c r="K346" s="33">
        <f>AVERAGE(1.39,1.45,1.39,1.49)</f>
        <v>1.43</v>
      </c>
      <c r="L346" s="70">
        <v>44655</v>
      </c>
    </row>
    <row r="347" spans="1:12" x14ac:dyDescent="0.2">
      <c r="A347" s="57" t="s">
        <v>159</v>
      </c>
      <c r="B347" s="57">
        <v>2085</v>
      </c>
      <c r="C347" s="57">
        <v>2</v>
      </c>
      <c r="D347" s="57">
        <v>0</v>
      </c>
      <c r="F347" s="57">
        <v>0.54300000000000004</v>
      </c>
      <c r="G347" s="57">
        <v>0.20599999999999999</v>
      </c>
      <c r="H347" s="57">
        <v>0.124</v>
      </c>
      <c r="I347" s="57">
        <v>4.2000000000000003E-2</v>
      </c>
      <c r="J347" s="57">
        <v>2.83</v>
      </c>
      <c r="K347" s="33">
        <f>AVERAGE(1.11,1.25,1.27,1.18)</f>
        <v>1.2025000000000001</v>
      </c>
      <c r="L347" s="70">
        <v>44655</v>
      </c>
    </row>
    <row r="348" spans="1:12" x14ac:dyDescent="0.2">
      <c r="A348" s="57" t="s">
        <v>159</v>
      </c>
      <c r="B348" s="57">
        <v>2027</v>
      </c>
      <c r="C348" s="57">
        <v>1</v>
      </c>
      <c r="D348" s="57">
        <v>0</v>
      </c>
      <c r="F348" s="57">
        <v>0.98899999999999999</v>
      </c>
      <c r="G348" s="57">
        <v>0.50900000000000001</v>
      </c>
      <c r="H348" s="57">
        <v>8.8999999999999996E-2</v>
      </c>
      <c r="I348" s="57">
        <v>0.04</v>
      </c>
      <c r="J348" s="57">
        <v>1.35</v>
      </c>
      <c r="K348" s="33">
        <f>AVERAGE(1.17,1.03,1.11,1)</f>
        <v>1.0775000000000001</v>
      </c>
      <c r="L348" s="70">
        <v>44655</v>
      </c>
    </row>
    <row r="349" spans="1:12" x14ac:dyDescent="0.2">
      <c r="A349" s="57" t="s">
        <v>59</v>
      </c>
      <c r="B349" s="57">
        <v>2022</v>
      </c>
      <c r="C349" s="57">
        <v>1</v>
      </c>
      <c r="D349" s="57">
        <v>1</v>
      </c>
      <c r="F349" s="57">
        <v>0.65600000000000003</v>
      </c>
      <c r="G349" s="57">
        <v>0.39200000000000002</v>
      </c>
      <c r="H349" s="57">
        <v>0.33500000000000002</v>
      </c>
      <c r="I349" s="57">
        <v>0.16500000000000001</v>
      </c>
      <c r="J349" s="57">
        <v>5.43</v>
      </c>
      <c r="K349" s="33">
        <f>AVERAGE(1.74,1.68,1.69,1.55)</f>
        <v>1.6649999999999998</v>
      </c>
      <c r="L349" s="70">
        <v>44655</v>
      </c>
    </row>
    <row r="350" spans="1:12" x14ac:dyDescent="0.2">
      <c r="A350" s="57" t="s">
        <v>159</v>
      </c>
      <c r="B350" s="57">
        <v>2027</v>
      </c>
      <c r="C350" s="57">
        <v>3</v>
      </c>
      <c r="D350" s="57">
        <v>0</v>
      </c>
      <c r="F350" s="57">
        <v>0.42199999999999999</v>
      </c>
      <c r="G350" s="57">
        <v>0.21099999999999999</v>
      </c>
      <c r="H350" s="57">
        <v>4.3999999999999997E-2</v>
      </c>
      <c r="I350" s="57">
        <v>1.9E-2</v>
      </c>
      <c r="J350" s="57">
        <v>1.1000000000000001</v>
      </c>
      <c r="K350" s="33">
        <f>AVERAGE(0.93,0.84,0.78,0.84)</f>
        <v>0.84749999999999992</v>
      </c>
      <c r="L350" s="70">
        <v>44655</v>
      </c>
    </row>
    <row r="351" spans="1:12" x14ac:dyDescent="0.2">
      <c r="A351" s="57" t="s">
        <v>159</v>
      </c>
      <c r="B351" s="57">
        <v>2020</v>
      </c>
      <c r="C351" s="57">
        <v>1</v>
      </c>
      <c r="D351" s="57">
        <v>0</v>
      </c>
      <c r="F351" s="57">
        <v>0.52900000000000003</v>
      </c>
      <c r="G351" s="57">
        <v>0.25900000000000001</v>
      </c>
      <c r="H351" s="57">
        <v>5.6000000000000001E-2</v>
      </c>
      <c r="I351" s="57">
        <v>2.1999999999999999E-2</v>
      </c>
      <c r="J351" s="57">
        <v>1.34</v>
      </c>
      <c r="K351" s="57" t="s">
        <v>60</v>
      </c>
      <c r="L351" s="70">
        <v>44655</v>
      </c>
    </row>
    <row r="352" spans="1:12" x14ac:dyDescent="0.2">
      <c r="A352" s="57" t="s">
        <v>159</v>
      </c>
      <c r="B352" s="57">
        <v>2020</v>
      </c>
      <c r="C352" s="57">
        <v>3</v>
      </c>
      <c r="D352" s="57">
        <v>0</v>
      </c>
      <c r="F352" s="57">
        <v>0.46200000000000002</v>
      </c>
      <c r="G352" s="57">
        <v>0.23</v>
      </c>
      <c r="H352" s="57">
        <v>2.1000000000000001E-2</v>
      </c>
      <c r="I352" s="57">
        <v>8.0000000000000002E-3</v>
      </c>
      <c r="J352" s="57">
        <v>0.81</v>
      </c>
      <c r="K352" s="57" t="s">
        <v>60</v>
      </c>
      <c r="L352" s="70">
        <v>44655</v>
      </c>
    </row>
    <row r="353" spans="1:12" x14ac:dyDescent="0.2">
      <c r="A353" s="57" t="s">
        <v>159</v>
      </c>
      <c r="B353" s="57">
        <v>2005</v>
      </c>
      <c r="C353" s="57">
        <v>2</v>
      </c>
      <c r="D353" s="57">
        <v>0</v>
      </c>
      <c r="F353" s="57">
        <v>1.284</v>
      </c>
      <c r="G353" s="57">
        <v>0.61699999999999999</v>
      </c>
      <c r="H353" s="57">
        <v>0.108</v>
      </c>
      <c r="I353" s="57">
        <v>4.9000000000000002E-2</v>
      </c>
      <c r="J353" s="57">
        <v>1.72</v>
      </c>
      <c r="K353" s="33">
        <f>AVERAGE(1.35,1.32,1.27,1.39)</f>
        <v>1.3325</v>
      </c>
      <c r="L353" s="70">
        <v>44655</v>
      </c>
    </row>
    <row r="354" spans="1:12" x14ac:dyDescent="0.2">
      <c r="A354" s="57" t="s">
        <v>159</v>
      </c>
      <c r="B354" s="57">
        <v>2031</v>
      </c>
      <c r="C354" s="57">
        <v>2</v>
      </c>
      <c r="D354" s="57">
        <v>0</v>
      </c>
      <c r="F354" s="57">
        <v>0.26600000000000001</v>
      </c>
      <c r="G354" s="57">
        <v>0.14399999999999999</v>
      </c>
      <c r="H354" s="57">
        <v>1.2E-2</v>
      </c>
      <c r="I354" s="57">
        <v>6.0000000000000001E-3</v>
      </c>
      <c r="J354" s="57">
        <v>0.43</v>
      </c>
      <c r="K354" s="57" t="s">
        <v>60</v>
      </c>
      <c r="L354" s="70">
        <v>44655</v>
      </c>
    </row>
    <row r="355" spans="1:12" x14ac:dyDescent="0.2">
      <c r="A355" s="57" t="s">
        <v>59</v>
      </c>
      <c r="B355" s="57">
        <v>2091</v>
      </c>
      <c r="C355" s="57">
        <v>2</v>
      </c>
      <c r="D355" s="57">
        <v>1</v>
      </c>
      <c r="F355" s="57">
        <v>1.0449999999999999</v>
      </c>
      <c r="G355" s="57">
        <v>0.62</v>
      </c>
      <c r="H355" s="57">
        <v>0.14099999999999999</v>
      </c>
      <c r="I355" s="57">
        <v>7.9000000000000001E-2</v>
      </c>
      <c r="J355" s="57">
        <v>3.41</v>
      </c>
      <c r="K355" s="33">
        <f>AVERAGE(1.35,1.45,1.61,1.43)</f>
        <v>1.46</v>
      </c>
      <c r="L355" s="70">
        <v>44655</v>
      </c>
    </row>
    <row r="356" spans="1:12" x14ac:dyDescent="0.2">
      <c r="A356" s="57" t="s">
        <v>59</v>
      </c>
      <c r="B356" s="57">
        <v>2092</v>
      </c>
      <c r="C356" s="57">
        <v>2</v>
      </c>
      <c r="D356" s="57">
        <v>0</v>
      </c>
      <c r="F356" s="57">
        <v>0.14099999999999999</v>
      </c>
      <c r="G356" s="57">
        <v>4.7E-2</v>
      </c>
      <c r="H356" s="57">
        <v>6.6000000000000003E-2</v>
      </c>
      <c r="I356" s="57">
        <v>1.9E-2</v>
      </c>
      <c r="J356" s="57">
        <v>1.54</v>
      </c>
      <c r="K356" s="57" t="s">
        <v>60</v>
      </c>
      <c r="L356" s="70">
        <v>44655</v>
      </c>
    </row>
    <row r="357" spans="1:12" x14ac:dyDescent="0.2">
      <c r="A357" s="57" t="s">
        <v>159</v>
      </c>
      <c r="B357" s="57">
        <v>2014</v>
      </c>
      <c r="C357" s="57">
        <v>3</v>
      </c>
      <c r="D357" s="57">
        <v>0</v>
      </c>
      <c r="F357" s="57">
        <v>0.73399999999999999</v>
      </c>
      <c r="G357" s="57">
        <v>0.30399999999999999</v>
      </c>
      <c r="H357" s="57">
        <v>0.106</v>
      </c>
      <c r="I357" s="57">
        <v>3.5999999999999997E-2</v>
      </c>
      <c r="J357" s="57">
        <v>2.58</v>
      </c>
      <c r="K357" s="33">
        <f>AVERAGE(1.07,1.18,0.97,0.94)</f>
        <v>1.04</v>
      </c>
      <c r="L357" s="70">
        <v>44655</v>
      </c>
    </row>
    <row r="358" spans="1:12" x14ac:dyDescent="0.2">
      <c r="A358" s="57" t="s">
        <v>59</v>
      </c>
      <c r="B358" s="57">
        <v>2093</v>
      </c>
      <c r="C358" s="57">
        <v>2</v>
      </c>
      <c r="D358" s="57">
        <v>1</v>
      </c>
      <c r="F358" s="57">
        <v>1.2649999999999999</v>
      </c>
      <c r="G358" s="57">
        <v>0.81899999999999995</v>
      </c>
      <c r="H358" s="57">
        <v>0.31900000000000001</v>
      </c>
      <c r="I358" s="57">
        <v>0.184</v>
      </c>
      <c r="J358" s="57">
        <v>6.25</v>
      </c>
      <c r="K358" s="33">
        <f>AVERAGE(1.77,1.65,1.51,1.76)</f>
        <v>1.6724999999999999</v>
      </c>
      <c r="L358" s="70">
        <v>44655</v>
      </c>
    </row>
    <row r="359" spans="1:12" x14ac:dyDescent="0.2">
      <c r="A359" s="57" t="s">
        <v>59</v>
      </c>
      <c r="B359" s="57">
        <v>2028</v>
      </c>
      <c r="C359" s="57">
        <v>2</v>
      </c>
      <c r="D359" s="57">
        <v>1</v>
      </c>
      <c r="F359" s="57">
        <v>3.1760000000000002</v>
      </c>
      <c r="G359" s="57">
        <v>1.631</v>
      </c>
      <c r="H359" s="57">
        <v>0.187</v>
      </c>
      <c r="I359" s="57">
        <v>7.9000000000000001E-2</v>
      </c>
      <c r="J359" s="57">
        <v>3.96</v>
      </c>
      <c r="K359" s="33">
        <f>AVERAGE(1.24,1.23,1.22,1.23)</f>
        <v>1.23</v>
      </c>
      <c r="L359" s="70">
        <v>44655</v>
      </c>
    </row>
    <row r="360" spans="1:12" x14ac:dyDescent="0.2">
      <c r="A360" s="57" t="s">
        <v>159</v>
      </c>
      <c r="B360" s="57">
        <v>2086</v>
      </c>
      <c r="C360" s="57">
        <v>2</v>
      </c>
      <c r="D360" s="57">
        <v>0</v>
      </c>
      <c r="F360" s="57">
        <v>0.96299999999999997</v>
      </c>
      <c r="G360" s="57">
        <v>0.35699999999999998</v>
      </c>
      <c r="H360" s="57">
        <v>0.192</v>
      </c>
      <c r="I360" s="57">
        <v>7.0000000000000007E-2</v>
      </c>
      <c r="J360" s="57">
        <v>3.07</v>
      </c>
      <c r="K360" s="33">
        <f>AVERAGE(1.16,1.44,1.33,1.21)</f>
        <v>1.2849999999999999</v>
      </c>
      <c r="L360" s="70">
        <v>44655</v>
      </c>
    </row>
    <row r="361" spans="1:12" x14ac:dyDescent="0.2">
      <c r="A361" s="57" t="s">
        <v>59</v>
      </c>
      <c r="B361" s="57">
        <v>2092</v>
      </c>
      <c r="C361" s="57">
        <v>1</v>
      </c>
      <c r="D361" s="57">
        <v>1</v>
      </c>
      <c r="F361" s="57">
        <v>0.38500000000000001</v>
      </c>
      <c r="G361" s="57">
        <v>0.23699999999999999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</v>
      </c>
    </row>
    <row r="362" spans="1:12" x14ac:dyDescent="0.2">
      <c r="A362" s="57" t="s">
        <v>159</v>
      </c>
      <c r="B362" s="57">
        <v>2013</v>
      </c>
      <c r="C362" s="57">
        <v>2</v>
      </c>
      <c r="D362" s="57">
        <v>0</v>
      </c>
      <c r="F362" s="57">
        <v>0.34</v>
      </c>
      <c r="G362" s="57">
        <v>0.126</v>
      </c>
      <c r="H362" s="57">
        <v>1.7999999999999999E-2</v>
      </c>
      <c r="I362" s="57">
        <v>6.0000000000000001E-3</v>
      </c>
      <c r="J362" s="57">
        <v>0.57999999999999996</v>
      </c>
      <c r="K362" s="57" t="s">
        <v>60</v>
      </c>
      <c r="L362" s="70">
        <v>44655</v>
      </c>
    </row>
    <row r="363" spans="1:12" x14ac:dyDescent="0.2">
      <c r="A363" s="57" t="s">
        <v>159</v>
      </c>
      <c r="B363" s="57">
        <v>2088</v>
      </c>
      <c r="C363" s="57">
        <v>1</v>
      </c>
      <c r="D363" s="57">
        <v>0</v>
      </c>
      <c r="F363" s="57">
        <v>0.26400000000000001</v>
      </c>
      <c r="G363" s="57">
        <v>0.11700000000000001</v>
      </c>
      <c r="H363" s="57">
        <v>3.3000000000000002E-2</v>
      </c>
      <c r="I363" s="57">
        <v>1.2999999999999999E-2</v>
      </c>
      <c r="J363" s="57">
        <v>1.08</v>
      </c>
      <c r="K363" s="33">
        <f>AVERAGE(0.72,0.73,0.82,0.88)</f>
        <v>0.78749999999999998</v>
      </c>
      <c r="L363" s="70">
        <v>44655</v>
      </c>
    </row>
    <row r="364" spans="1:12" x14ac:dyDescent="0.2">
      <c r="A364" s="57" t="s">
        <v>59</v>
      </c>
      <c r="B364" s="57">
        <v>2023</v>
      </c>
      <c r="C364" s="57">
        <v>3</v>
      </c>
      <c r="D364" s="57">
        <v>1</v>
      </c>
      <c r="F364" s="57">
        <v>0.98399999999999999</v>
      </c>
      <c r="G364" s="57">
        <v>0.60099999999999998</v>
      </c>
      <c r="H364" s="57">
        <v>0.32900000000000001</v>
      </c>
      <c r="I364" s="57">
        <v>0.182</v>
      </c>
      <c r="J364" s="57">
        <v>6.8</v>
      </c>
      <c r="K364" s="33">
        <f>AVERAGE(1.61,1.61,1.61,1.54)</f>
        <v>1.5925</v>
      </c>
      <c r="L364" s="70">
        <v>44655</v>
      </c>
    </row>
    <row r="365" spans="1:12" x14ac:dyDescent="0.2">
      <c r="A365" s="57" t="s">
        <v>159</v>
      </c>
      <c r="B365" s="57">
        <v>2004</v>
      </c>
      <c r="C365" s="57">
        <v>2</v>
      </c>
      <c r="D365" s="57">
        <v>0</v>
      </c>
      <c r="F365" s="57">
        <v>0.95799999999999996</v>
      </c>
      <c r="G365" s="57">
        <v>0.502</v>
      </c>
      <c r="H365" s="57">
        <v>0.184</v>
      </c>
      <c r="I365" s="57">
        <v>8.2000000000000003E-2</v>
      </c>
      <c r="J365" s="57">
        <v>3.34</v>
      </c>
      <c r="K365" s="33">
        <f>AVERAGE(1.27,1.19,1.22,1.19)</f>
        <v>1.2174999999999998</v>
      </c>
      <c r="L365" s="70">
        <v>44655</v>
      </c>
    </row>
    <row r="366" spans="1:12" x14ac:dyDescent="0.2">
      <c r="A366" s="57" t="s">
        <v>159</v>
      </c>
      <c r="B366" s="57">
        <v>2090</v>
      </c>
      <c r="C366" s="57">
        <v>2</v>
      </c>
      <c r="D366" s="57">
        <v>0</v>
      </c>
      <c r="F366" s="57">
        <v>0.89200000000000002</v>
      </c>
      <c r="G366" s="57">
        <v>0.36899999999999999</v>
      </c>
      <c r="H366" s="57">
        <v>0.114</v>
      </c>
      <c r="I366" s="57">
        <v>4.2000000000000003E-2</v>
      </c>
      <c r="J366" s="57">
        <v>2.64</v>
      </c>
      <c r="K366" s="33">
        <f>AVERAGE(0.88,1.03,1.01,0.88)</f>
        <v>0.95</v>
      </c>
      <c r="L366" s="70">
        <v>44655</v>
      </c>
    </row>
    <row r="367" spans="1:12" x14ac:dyDescent="0.2">
      <c r="A367" s="57" t="s">
        <v>159</v>
      </c>
      <c r="B367" s="57">
        <v>2085</v>
      </c>
      <c r="C367" s="57">
        <v>3</v>
      </c>
      <c r="D367" s="57">
        <v>0</v>
      </c>
      <c r="F367" s="57">
        <v>0.63700000000000001</v>
      </c>
      <c r="G367" s="57">
        <v>0.253</v>
      </c>
      <c r="H367" s="57">
        <v>6.8000000000000005E-2</v>
      </c>
      <c r="I367" s="57">
        <v>2.4E-2</v>
      </c>
      <c r="J367" s="57">
        <v>1.8</v>
      </c>
      <c r="K367" s="33">
        <f>AVERAGE(1.04,1.07,0.98,1.1)</f>
        <v>1.0475000000000001</v>
      </c>
      <c r="L367" s="70">
        <v>44655</v>
      </c>
    </row>
    <row r="368" spans="1:12" x14ac:dyDescent="0.2">
      <c r="A368" s="57" t="s">
        <v>159</v>
      </c>
      <c r="B368" s="57">
        <v>2090</v>
      </c>
      <c r="C368" s="57">
        <v>3</v>
      </c>
      <c r="D368" s="57">
        <v>0</v>
      </c>
      <c r="F368" s="57">
        <v>0.51500000000000001</v>
      </c>
      <c r="G368" s="57">
        <v>0.23300000000000001</v>
      </c>
      <c r="H368" s="57">
        <v>6.2E-2</v>
      </c>
      <c r="I368" s="57">
        <v>2.4E-2</v>
      </c>
      <c r="J368" s="57">
        <v>1.6</v>
      </c>
      <c r="K368" s="33">
        <f>AVERAGE(0.83,0.65,0.79,0.64)</f>
        <v>0.72750000000000004</v>
      </c>
      <c r="L368" s="70">
        <v>44655</v>
      </c>
    </row>
    <row r="369" spans="1:13" x14ac:dyDescent="0.2">
      <c r="A369" s="57" t="s">
        <v>159</v>
      </c>
      <c r="B369" s="57">
        <v>2015</v>
      </c>
      <c r="C369" s="57">
        <v>2</v>
      </c>
      <c r="D369" s="57">
        <v>0</v>
      </c>
      <c r="F369" s="57">
        <v>0.61899999999999999</v>
      </c>
      <c r="G369" s="57">
        <v>0.29799999999999999</v>
      </c>
      <c r="H369" s="57">
        <v>9.5000000000000001E-2</v>
      </c>
      <c r="I369" s="57">
        <v>3.9E-2</v>
      </c>
      <c r="J369" s="57">
        <v>2.2599999999999998</v>
      </c>
      <c r="K369" s="33">
        <f>AVERAGE(1.01,0.94,0.91,0.89)</f>
        <v>0.9375</v>
      </c>
      <c r="L369" s="70">
        <v>44655</v>
      </c>
    </row>
    <row r="370" spans="1:13" x14ac:dyDescent="0.2">
      <c r="A370" s="57" t="s">
        <v>59</v>
      </c>
      <c r="B370" s="57">
        <v>2030</v>
      </c>
      <c r="C370" s="57">
        <v>1</v>
      </c>
      <c r="D370" s="57">
        <v>1</v>
      </c>
      <c r="F370" s="57">
        <v>0.35099999999999998</v>
      </c>
      <c r="G370" s="57">
        <v>0.192</v>
      </c>
      <c r="H370" s="57">
        <v>2.4E-2</v>
      </c>
      <c r="I370" s="57">
        <v>0.01</v>
      </c>
      <c r="J370" s="57">
        <v>1.07</v>
      </c>
      <c r="K370" s="33">
        <f>AVERAGE(0.67,0.66,0.61,0.58)</f>
        <v>0.63</v>
      </c>
      <c r="L370" s="70">
        <v>44655</v>
      </c>
    </row>
    <row r="371" spans="1:13" x14ac:dyDescent="0.2">
      <c r="A371" s="57" t="s">
        <v>159</v>
      </c>
      <c r="B371" s="57">
        <v>1478</v>
      </c>
      <c r="C371" s="57">
        <v>1</v>
      </c>
      <c r="D371" s="57">
        <v>0</v>
      </c>
      <c r="F371" s="57">
        <v>0.81699999999999995</v>
      </c>
      <c r="G371" s="57">
        <v>0.27500000000000002</v>
      </c>
      <c r="H371" s="57">
        <v>0.245</v>
      </c>
      <c r="I371" s="57">
        <v>7.0000000000000007E-2</v>
      </c>
      <c r="J371" s="57">
        <v>6.03</v>
      </c>
      <c r="K371" s="33">
        <f>AVERAGE(1.05,0.99,1.07,1.1)</f>
        <v>1.0525000000000002</v>
      </c>
      <c r="L371" s="70">
        <v>44655</v>
      </c>
    </row>
    <row r="372" spans="1:13" x14ac:dyDescent="0.2">
      <c r="A372" s="57" t="s">
        <v>159</v>
      </c>
      <c r="B372" s="57">
        <v>2005</v>
      </c>
      <c r="C372" s="57">
        <v>1</v>
      </c>
      <c r="D372" s="57">
        <v>0</v>
      </c>
      <c r="F372" s="57">
        <v>0.97099999999999997</v>
      </c>
      <c r="G372" s="57">
        <v>0.46300000000000002</v>
      </c>
      <c r="H372" s="57">
        <v>0.109</v>
      </c>
      <c r="I372" s="57">
        <v>4.8000000000000001E-2</v>
      </c>
      <c r="J372" s="57">
        <v>2.29</v>
      </c>
      <c r="K372" s="33">
        <f>AVERAGE(0.94,1.01,1.09,1.07)</f>
        <v>1.0275000000000001</v>
      </c>
      <c r="L372" s="70">
        <v>44655</v>
      </c>
    </row>
    <row r="373" spans="1:13" x14ac:dyDescent="0.2">
      <c r="A373" s="57" t="s">
        <v>159</v>
      </c>
      <c r="B373" s="57">
        <v>2026</v>
      </c>
      <c r="C373" s="57">
        <v>2</v>
      </c>
      <c r="D373" s="57">
        <v>0</v>
      </c>
      <c r="F373" s="57">
        <v>0.55700000000000005</v>
      </c>
      <c r="G373" s="57">
        <v>0.29599999999999999</v>
      </c>
      <c r="H373" s="57">
        <v>0.107</v>
      </c>
      <c r="I373" s="57">
        <v>5.0999999999999997E-2</v>
      </c>
      <c r="J373" s="57">
        <v>1.9</v>
      </c>
      <c r="K373" s="33">
        <f>AVERAGE(0.88,1.07,0.88,0.96)</f>
        <v>0.94750000000000001</v>
      </c>
      <c r="L373" s="70">
        <v>44655</v>
      </c>
    </row>
    <row r="374" spans="1:13" x14ac:dyDescent="0.2">
      <c r="A374" s="57" t="s">
        <v>159</v>
      </c>
      <c r="B374" s="57">
        <v>2006</v>
      </c>
      <c r="C374" s="57">
        <v>2</v>
      </c>
      <c r="D374" s="57">
        <v>0</v>
      </c>
      <c r="F374" s="57">
        <v>0.55300000000000005</v>
      </c>
      <c r="G374" s="57">
        <v>0.27400000000000002</v>
      </c>
      <c r="H374" s="57">
        <v>3.2000000000000001E-2</v>
      </c>
      <c r="I374" s="57">
        <v>1.2999999999999999E-2</v>
      </c>
      <c r="J374" s="57">
        <v>0.84</v>
      </c>
      <c r="K374" s="57" t="s">
        <v>60</v>
      </c>
      <c r="L374" s="70">
        <v>44655</v>
      </c>
    </row>
    <row r="375" spans="1:13" x14ac:dyDescent="0.2">
      <c r="A375" s="57" t="s">
        <v>59</v>
      </c>
      <c r="B375" s="57">
        <v>2093</v>
      </c>
      <c r="C375" s="57">
        <v>3</v>
      </c>
      <c r="D375" s="57">
        <v>0</v>
      </c>
      <c r="F375" s="57">
        <v>0.193</v>
      </c>
      <c r="G375" s="57">
        <v>0.121</v>
      </c>
      <c r="H375" s="57">
        <v>0.04</v>
      </c>
      <c r="I375" s="57">
        <v>1.7000000000000001E-2</v>
      </c>
      <c r="J375" s="57">
        <v>0.67</v>
      </c>
      <c r="K375" s="57" t="s">
        <v>60</v>
      </c>
      <c r="L375" s="70">
        <v>44655</v>
      </c>
    </row>
    <row r="376" spans="1:13" x14ac:dyDescent="0.2">
      <c r="A376" s="57" t="s">
        <v>159</v>
      </c>
      <c r="B376" s="57">
        <v>2086</v>
      </c>
      <c r="C376" s="57">
        <v>3</v>
      </c>
      <c r="D376" s="57">
        <v>0</v>
      </c>
      <c r="F376" s="57">
        <v>1.1100000000000001</v>
      </c>
      <c r="G376" s="57">
        <v>0.45600000000000002</v>
      </c>
      <c r="H376" s="57">
        <v>9.6000000000000002E-2</v>
      </c>
      <c r="I376" s="57">
        <v>3.6999999999999998E-2</v>
      </c>
      <c r="J376" s="57">
        <v>1.45</v>
      </c>
      <c r="K376" s="57" t="s">
        <v>60</v>
      </c>
      <c r="L376" s="70">
        <v>44655</v>
      </c>
    </row>
    <row r="377" spans="1:13" x14ac:dyDescent="0.2">
      <c r="A377" s="57" t="s">
        <v>159</v>
      </c>
      <c r="B377" s="57">
        <v>2015</v>
      </c>
      <c r="C377" s="57">
        <v>1</v>
      </c>
      <c r="D377" s="57">
        <v>0</v>
      </c>
      <c r="F377" s="57">
        <v>0.86699999999999999</v>
      </c>
      <c r="G377" s="57">
        <v>0.41699999999999998</v>
      </c>
      <c r="H377" s="57">
        <v>0.29799999999999999</v>
      </c>
      <c r="I377" s="57">
        <v>0.11600000000000001</v>
      </c>
      <c r="J377" s="57">
        <v>5.98</v>
      </c>
      <c r="K377" s="33">
        <f>AVERAGE(1.33,1.15,1.07,1.3)</f>
        <v>1.2124999999999999</v>
      </c>
      <c r="L377" s="70">
        <v>44655</v>
      </c>
    </row>
    <row r="378" spans="1:13" x14ac:dyDescent="0.2">
      <c r="A378" s="57" t="s">
        <v>159</v>
      </c>
      <c r="B378" s="57">
        <v>2024</v>
      </c>
      <c r="C378" s="57">
        <v>3</v>
      </c>
      <c r="D378" s="57">
        <v>0</v>
      </c>
      <c r="F378" s="57">
        <v>0.89800000000000002</v>
      </c>
      <c r="G378" s="57">
        <v>0.48499999999999999</v>
      </c>
      <c r="H378" s="57">
        <v>8.7999999999999995E-2</v>
      </c>
      <c r="I378" s="57">
        <v>0.04</v>
      </c>
      <c r="J378" s="57">
        <v>1.35</v>
      </c>
      <c r="K378" s="33">
        <f>AVERAGE(1.24,1.09,1.05,1.11)</f>
        <v>1.1225000000000001</v>
      </c>
      <c r="L378" s="70">
        <v>44655</v>
      </c>
    </row>
    <row r="379" spans="1:13" x14ac:dyDescent="0.2">
      <c r="A379" s="57" t="s">
        <v>59</v>
      </c>
      <c r="B379" s="57">
        <v>2028</v>
      </c>
      <c r="C379" s="57">
        <v>3</v>
      </c>
      <c r="D379" s="57">
        <v>1</v>
      </c>
      <c r="F379" s="57">
        <v>0.86199999999999999</v>
      </c>
      <c r="G379" s="57">
        <v>0.45400000000000001</v>
      </c>
      <c r="H379" s="57">
        <v>5.5E-2</v>
      </c>
      <c r="I379" s="57">
        <v>2.4E-2</v>
      </c>
      <c r="J379" s="57">
        <v>2.5499999999999998</v>
      </c>
      <c r="K379" s="33">
        <f>AVERAGE(0.84,0.89,0.76,0.81)</f>
        <v>0.82500000000000007</v>
      </c>
      <c r="L379" s="70">
        <v>44655</v>
      </c>
    </row>
    <row r="380" spans="1:13" x14ac:dyDescent="0.2">
      <c r="A380" s="57" t="s">
        <v>59</v>
      </c>
      <c r="B380" s="57">
        <v>2345</v>
      </c>
      <c r="C380" s="57">
        <v>3</v>
      </c>
      <c r="D380" s="57">
        <v>0</v>
      </c>
      <c r="F380" s="57">
        <v>1.036</v>
      </c>
      <c r="G380" s="57">
        <v>0.624</v>
      </c>
      <c r="H380" s="57">
        <v>0.29599999999999999</v>
      </c>
      <c r="I380" s="57">
        <v>0.186</v>
      </c>
      <c r="J380" s="57">
        <v>6.45</v>
      </c>
      <c r="K380" s="57">
        <v>1.4025000000000001</v>
      </c>
      <c r="L380" s="70">
        <v>44676</v>
      </c>
      <c r="M380" s="57" t="s">
        <v>163</v>
      </c>
    </row>
    <row r="381" spans="1:13" x14ac:dyDescent="0.2">
      <c r="A381" s="57" t="s">
        <v>159</v>
      </c>
      <c r="B381" s="57">
        <v>2381</v>
      </c>
      <c r="C381" s="57">
        <v>2</v>
      </c>
      <c r="D381" s="57">
        <v>0</v>
      </c>
      <c r="F381" s="57">
        <v>0.67300000000000004</v>
      </c>
      <c r="G381" s="57">
        <v>0.372</v>
      </c>
      <c r="H381" s="57">
        <v>4.9000000000000002E-2</v>
      </c>
      <c r="I381" s="57">
        <v>2.7E-2</v>
      </c>
      <c r="J381" s="57">
        <v>0.91</v>
      </c>
      <c r="K381" s="57">
        <v>1.165</v>
      </c>
      <c r="L381" s="70">
        <v>44676</v>
      </c>
    </row>
    <row r="382" spans="1:13" x14ac:dyDescent="0.2">
      <c r="A382" s="57" t="s">
        <v>159</v>
      </c>
      <c r="B382" s="57">
        <v>2384</v>
      </c>
      <c r="C382" s="57">
        <v>3</v>
      </c>
      <c r="D382" s="57">
        <v>0</v>
      </c>
      <c r="F382" s="57">
        <v>0.36699999999999999</v>
      </c>
      <c r="G382" s="57">
        <v>0.21</v>
      </c>
      <c r="H382" s="57">
        <v>3.3000000000000002E-2</v>
      </c>
      <c r="I382" s="57">
        <v>1.7999999999999999E-2</v>
      </c>
      <c r="J382" s="57">
        <v>1.01</v>
      </c>
      <c r="K382" s="57">
        <v>0.92</v>
      </c>
      <c r="L382" s="70">
        <v>44676</v>
      </c>
    </row>
    <row r="383" spans="1:13" x14ac:dyDescent="0.2">
      <c r="A383" s="57" t="s">
        <v>159</v>
      </c>
      <c r="B383" s="57">
        <v>2346</v>
      </c>
      <c r="C383" s="57">
        <v>1</v>
      </c>
      <c r="D383" s="57">
        <v>0</v>
      </c>
      <c r="F383" s="57">
        <v>0.38100000000000001</v>
      </c>
      <c r="G383" s="57">
        <v>0.21199999999999999</v>
      </c>
      <c r="H383" s="57">
        <v>2.5999999999999999E-2</v>
      </c>
      <c r="I383" s="57">
        <v>1.4E-2</v>
      </c>
      <c r="J383" s="57">
        <v>0.81</v>
      </c>
      <c r="K383" s="57">
        <v>0.8175</v>
      </c>
      <c r="L383" s="70">
        <v>44676</v>
      </c>
    </row>
    <row r="384" spans="1:13" x14ac:dyDescent="0.2">
      <c r="A384" s="57" t="s">
        <v>159</v>
      </c>
      <c r="B384" s="57">
        <v>2011</v>
      </c>
      <c r="C384" s="57">
        <v>3</v>
      </c>
      <c r="D384" s="57">
        <v>0</v>
      </c>
      <c r="F384" s="57">
        <v>0.77600000000000002</v>
      </c>
      <c r="G384" s="57">
        <v>0.42799999999999999</v>
      </c>
      <c r="H384" s="57">
        <v>5.7000000000000002E-2</v>
      </c>
      <c r="I384" s="57">
        <v>2.8000000000000001E-2</v>
      </c>
      <c r="J384" s="57">
        <v>0.93</v>
      </c>
      <c r="K384" s="57">
        <v>1.3075000000000001</v>
      </c>
      <c r="L384" s="70">
        <v>44676</v>
      </c>
    </row>
    <row r="385" spans="1:12" x14ac:dyDescent="0.2">
      <c r="A385" s="57" t="s">
        <v>159</v>
      </c>
      <c r="B385" s="57">
        <v>2378</v>
      </c>
      <c r="C385" s="57">
        <v>1</v>
      </c>
      <c r="D385" s="57">
        <v>0</v>
      </c>
      <c r="F385" s="57">
        <v>1.337</v>
      </c>
      <c r="G385" s="57">
        <v>0.72499999999999998</v>
      </c>
      <c r="H385" s="57">
        <v>0.23200000000000001</v>
      </c>
      <c r="I385" s="57">
        <v>0.129</v>
      </c>
      <c r="J385" s="57">
        <v>2.39</v>
      </c>
      <c r="K385" s="57">
        <v>1.5024999999999999</v>
      </c>
      <c r="L385" s="70">
        <v>44676</v>
      </c>
    </row>
    <row r="386" spans="1:12" x14ac:dyDescent="0.2">
      <c r="A386" s="57" t="s">
        <v>59</v>
      </c>
      <c r="B386" s="57">
        <v>2377</v>
      </c>
      <c r="C386" s="57">
        <v>3</v>
      </c>
      <c r="D386" s="57">
        <v>0</v>
      </c>
      <c r="F386" s="57">
        <v>1.3560000000000001</v>
      </c>
      <c r="G386" s="57">
        <v>0.751</v>
      </c>
      <c r="H386" s="57">
        <v>0.254</v>
      </c>
      <c r="I386" s="57">
        <v>0.13100000000000001</v>
      </c>
      <c r="J386" s="57">
        <v>6.66</v>
      </c>
      <c r="K386" s="57">
        <v>1.4624999999999999</v>
      </c>
      <c r="L386" s="70">
        <v>44676</v>
      </c>
    </row>
    <row r="387" spans="1:12" x14ac:dyDescent="0.2">
      <c r="A387" s="57" t="s">
        <v>59</v>
      </c>
      <c r="B387" s="57">
        <v>2345</v>
      </c>
      <c r="C387" s="57">
        <v>1</v>
      </c>
      <c r="D387" s="57">
        <v>1</v>
      </c>
      <c r="F387" s="57">
        <v>1.8759999999999999</v>
      </c>
      <c r="G387" s="57">
        <v>1.1200000000000001</v>
      </c>
      <c r="H387" s="57">
        <v>0.33200000000000002</v>
      </c>
      <c r="I387" s="57">
        <v>0.21199999999999999</v>
      </c>
      <c r="J387" s="57">
        <v>7.27</v>
      </c>
      <c r="K387" s="57">
        <v>1.5874999999999999</v>
      </c>
      <c r="L387" s="70">
        <v>44676</v>
      </c>
    </row>
    <row r="388" spans="1:12" x14ac:dyDescent="0.2">
      <c r="A388" s="57" t="s">
        <v>159</v>
      </c>
      <c r="B388" s="57">
        <v>2381</v>
      </c>
      <c r="C388" s="57">
        <v>1</v>
      </c>
      <c r="D388" s="57">
        <v>0</v>
      </c>
      <c r="F388" s="57">
        <v>0.97399999999999998</v>
      </c>
      <c r="G388" s="57">
        <v>0.53200000000000003</v>
      </c>
      <c r="H388" s="57">
        <v>7.9000000000000001E-2</v>
      </c>
      <c r="I388" s="57">
        <v>4.2999999999999997E-2</v>
      </c>
      <c r="J388" s="57">
        <v>1.35</v>
      </c>
      <c r="K388" s="57">
        <v>1.3125</v>
      </c>
      <c r="L388" s="70">
        <v>44676</v>
      </c>
    </row>
    <row r="389" spans="1:12" x14ac:dyDescent="0.2">
      <c r="A389" s="57" t="s">
        <v>59</v>
      </c>
      <c r="B389" s="57">
        <v>2352</v>
      </c>
      <c r="C389" s="57">
        <v>3</v>
      </c>
      <c r="D389" s="57">
        <v>1</v>
      </c>
      <c r="F389" s="57">
        <v>0.46500000000000002</v>
      </c>
      <c r="G389" s="57">
        <v>0.314</v>
      </c>
      <c r="H389" s="57">
        <v>5.8999999999999997E-2</v>
      </c>
      <c r="I389" s="57">
        <v>3.7999999999999999E-2</v>
      </c>
      <c r="J389" s="57">
        <v>2.23</v>
      </c>
      <c r="K389" s="57">
        <v>1.18</v>
      </c>
      <c r="L389" s="70">
        <v>44676</v>
      </c>
    </row>
    <row r="390" spans="1:12" x14ac:dyDescent="0.2">
      <c r="A390" s="57" t="s">
        <v>59</v>
      </c>
      <c r="B390" s="57">
        <v>2380</v>
      </c>
      <c r="C390" s="57">
        <v>1</v>
      </c>
      <c r="D390" s="57">
        <v>0</v>
      </c>
      <c r="F390" s="57">
        <v>0.42199999999999999</v>
      </c>
      <c r="G390" s="57">
        <v>0.26900000000000002</v>
      </c>
      <c r="H390" s="57">
        <v>8.2000000000000003E-2</v>
      </c>
      <c r="I390" s="57">
        <v>5.3999999999999999E-2</v>
      </c>
      <c r="J390" s="57">
        <v>2.0699999999999998</v>
      </c>
      <c r="K390" s="57">
        <v>1.3225</v>
      </c>
      <c r="L390" s="70">
        <v>44676</v>
      </c>
    </row>
    <row r="391" spans="1:12" x14ac:dyDescent="0.2">
      <c r="A391" s="57" t="s">
        <v>59</v>
      </c>
      <c r="B391" s="57">
        <v>2331</v>
      </c>
      <c r="C391" s="57">
        <v>1</v>
      </c>
      <c r="D391" s="57">
        <v>1</v>
      </c>
      <c r="F391" s="57">
        <v>1.776</v>
      </c>
      <c r="G391" s="57">
        <v>1.1439999999999999</v>
      </c>
      <c r="H391" s="57">
        <v>0.32700000000000001</v>
      </c>
      <c r="I391" s="57">
        <v>0.217</v>
      </c>
      <c r="J391" s="57">
        <v>7.35</v>
      </c>
      <c r="K391" s="57">
        <v>1.865</v>
      </c>
      <c r="L391" s="70">
        <v>44676</v>
      </c>
    </row>
    <row r="392" spans="1:12" x14ac:dyDescent="0.2">
      <c r="A392" s="57" t="s">
        <v>59</v>
      </c>
      <c r="B392" s="57">
        <v>2301</v>
      </c>
      <c r="C392" s="57">
        <v>3</v>
      </c>
      <c r="D392" s="57">
        <v>1</v>
      </c>
      <c r="F392" s="57">
        <v>2.0430000000000001</v>
      </c>
      <c r="G392" s="57">
        <v>1.2769999999999999</v>
      </c>
      <c r="H392" s="57">
        <v>0.22900000000000001</v>
      </c>
      <c r="I392" s="57">
        <v>0.14499999999999999</v>
      </c>
      <c r="J392" s="57">
        <v>5.72</v>
      </c>
      <c r="K392" s="57">
        <v>1.4350000000000001</v>
      </c>
      <c r="L392" s="70">
        <v>44676</v>
      </c>
    </row>
    <row r="393" spans="1:12" x14ac:dyDescent="0.2">
      <c r="A393" s="57" t="s">
        <v>59</v>
      </c>
      <c r="B393" s="57">
        <v>2354</v>
      </c>
      <c r="C393" s="57">
        <v>3</v>
      </c>
      <c r="D393" s="57">
        <v>1</v>
      </c>
      <c r="F393" s="57">
        <v>0.23499999999999999</v>
      </c>
      <c r="G393" s="57">
        <v>0.14699999999999999</v>
      </c>
      <c r="H393" s="57">
        <v>0.15</v>
      </c>
      <c r="I393" s="57">
        <v>8.6999999999999994E-2</v>
      </c>
      <c r="J393" s="57">
        <v>4.66</v>
      </c>
      <c r="K393" s="57">
        <v>1.2475000000000001</v>
      </c>
      <c r="L393" s="70">
        <v>44676</v>
      </c>
    </row>
    <row r="394" spans="1:12" x14ac:dyDescent="0.2">
      <c r="A394" s="57" t="s">
        <v>159</v>
      </c>
      <c r="B394" s="57">
        <v>2365</v>
      </c>
      <c r="C394" s="57">
        <v>3</v>
      </c>
      <c r="D394" s="57">
        <v>0</v>
      </c>
      <c r="F394" s="57">
        <v>0.50900000000000001</v>
      </c>
      <c r="G394" s="57">
        <v>0.27500000000000002</v>
      </c>
      <c r="H394" s="57">
        <v>3.2000000000000001E-2</v>
      </c>
      <c r="I394" s="57">
        <v>1.7999999999999999E-2</v>
      </c>
      <c r="J394" s="57">
        <v>0.89</v>
      </c>
      <c r="K394" s="57">
        <v>3.74</v>
      </c>
      <c r="L394" s="70">
        <v>44676</v>
      </c>
    </row>
    <row r="395" spans="1:12" x14ac:dyDescent="0.2">
      <c r="A395" s="57" t="s">
        <v>159</v>
      </c>
      <c r="B395" s="57">
        <v>2367</v>
      </c>
      <c r="C395" s="57">
        <v>2</v>
      </c>
      <c r="D395" s="57">
        <v>0</v>
      </c>
      <c r="F395" s="57">
        <v>0.35099999999999998</v>
      </c>
      <c r="G395" s="57">
        <v>0.191</v>
      </c>
      <c r="H395" s="57">
        <v>2.1999999999999999E-2</v>
      </c>
      <c r="I395" s="57">
        <v>1.2E-2</v>
      </c>
      <c r="J395" s="57">
        <v>1</v>
      </c>
      <c r="K395" s="57">
        <v>0.75</v>
      </c>
      <c r="L395" s="70">
        <v>44676</v>
      </c>
    </row>
    <row r="396" spans="1:12" x14ac:dyDescent="0.2">
      <c r="A396" s="57" t="s">
        <v>159</v>
      </c>
      <c r="B396" s="57">
        <v>2343</v>
      </c>
      <c r="C396" s="57">
        <v>3</v>
      </c>
      <c r="D396" s="57">
        <v>0</v>
      </c>
      <c r="F396" s="57">
        <v>0.95399999999999996</v>
      </c>
      <c r="G396" s="57">
        <v>0.52700000000000002</v>
      </c>
      <c r="H396" s="57">
        <v>0.11600000000000001</v>
      </c>
      <c r="I396" s="57">
        <v>6.2E-2</v>
      </c>
      <c r="J396" s="57">
        <v>1.98</v>
      </c>
      <c r="K396" s="57">
        <v>1.2749999999999999</v>
      </c>
      <c r="L396" s="70">
        <v>44676</v>
      </c>
    </row>
    <row r="397" spans="1:12" x14ac:dyDescent="0.2">
      <c r="A397" s="57" t="s">
        <v>59</v>
      </c>
      <c r="B397" s="57">
        <v>2352</v>
      </c>
      <c r="C397" s="57">
        <v>1</v>
      </c>
      <c r="D397" s="57">
        <v>1</v>
      </c>
      <c r="F397" s="57">
        <v>0.83399999999999996</v>
      </c>
      <c r="G397" s="57">
        <v>0.54</v>
      </c>
      <c r="H397" s="57">
        <v>0.152</v>
      </c>
      <c r="I397" s="57">
        <v>9.8000000000000004E-2</v>
      </c>
      <c r="J397" s="57">
        <v>5.18</v>
      </c>
      <c r="K397" s="57">
        <v>1.33</v>
      </c>
      <c r="L397" s="70">
        <v>44676</v>
      </c>
    </row>
    <row r="398" spans="1:12" x14ac:dyDescent="0.2">
      <c r="A398" s="57" t="s">
        <v>159</v>
      </c>
      <c r="B398" s="57">
        <v>2384</v>
      </c>
      <c r="C398" s="57">
        <v>1</v>
      </c>
      <c r="D398" s="57">
        <v>0</v>
      </c>
      <c r="F398" s="57">
        <v>0.60499999999999998</v>
      </c>
      <c r="G398" s="57">
        <v>0.34599999999999997</v>
      </c>
      <c r="H398" s="57">
        <v>6.4000000000000001E-2</v>
      </c>
      <c r="I398" s="57">
        <v>3.6999999999999998E-2</v>
      </c>
      <c r="J398" s="57">
        <v>1.37</v>
      </c>
      <c r="K398" s="57">
        <v>1.2925</v>
      </c>
      <c r="L398" s="70">
        <v>44676</v>
      </c>
    </row>
    <row r="399" spans="1:12" x14ac:dyDescent="0.2">
      <c r="A399" s="57" t="s">
        <v>59</v>
      </c>
      <c r="B399" s="57">
        <v>2377</v>
      </c>
      <c r="C399" s="57">
        <v>2</v>
      </c>
      <c r="D399" s="57">
        <v>0</v>
      </c>
      <c r="F399" s="57">
        <v>0.50900000000000001</v>
      </c>
      <c r="G399" s="57">
        <v>0.28999999999999998</v>
      </c>
      <c r="H399" s="57">
        <v>7.6999999999999999E-2</v>
      </c>
      <c r="I399" s="57">
        <v>0.04</v>
      </c>
      <c r="J399" s="57">
        <v>2.94</v>
      </c>
      <c r="K399" s="57">
        <v>1.0774999999999999</v>
      </c>
      <c r="L399" s="70">
        <v>44676</v>
      </c>
    </row>
    <row r="400" spans="1:12" x14ac:dyDescent="0.2">
      <c r="A400" s="57" t="s">
        <v>59</v>
      </c>
      <c r="B400" s="57">
        <v>2377</v>
      </c>
      <c r="C400" s="57">
        <v>1</v>
      </c>
      <c r="D400" s="57">
        <v>1</v>
      </c>
      <c r="F400" s="57">
        <v>7.9000000000000001E-2</v>
      </c>
      <c r="G400" s="57">
        <v>5.0999999999999997E-2</v>
      </c>
      <c r="H400" s="57">
        <v>0.05</v>
      </c>
      <c r="I400" s="57">
        <v>2.9000000000000001E-2</v>
      </c>
      <c r="J400" s="57">
        <v>1.1100000000000001</v>
      </c>
      <c r="K400" s="57">
        <v>1.6</v>
      </c>
      <c r="L400" s="70">
        <v>44676</v>
      </c>
    </row>
    <row r="401" spans="1:12" x14ac:dyDescent="0.2">
      <c r="A401" s="57" t="s">
        <v>59</v>
      </c>
      <c r="B401" s="57">
        <v>2354</v>
      </c>
      <c r="C401" s="57">
        <v>2</v>
      </c>
      <c r="D401" s="57">
        <v>1</v>
      </c>
      <c r="F401" s="57">
        <v>0.252</v>
      </c>
      <c r="G401" s="57">
        <v>0.153</v>
      </c>
      <c r="H401" s="57">
        <v>5.3999999999999999E-2</v>
      </c>
      <c r="I401" s="57">
        <v>3.1E-2</v>
      </c>
      <c r="J401" s="57">
        <v>2.06</v>
      </c>
      <c r="K401" s="57">
        <v>1.085</v>
      </c>
      <c r="L401" s="70">
        <v>44676</v>
      </c>
    </row>
    <row r="402" spans="1:12" x14ac:dyDescent="0.2">
      <c r="A402" s="57" t="s">
        <v>59</v>
      </c>
      <c r="B402" s="57">
        <v>2345</v>
      </c>
      <c r="C402" s="57">
        <v>2</v>
      </c>
      <c r="D402" s="57">
        <v>1</v>
      </c>
      <c r="F402" s="57">
        <v>1.0669999999999999</v>
      </c>
      <c r="G402" s="57">
        <v>0.63600000000000001</v>
      </c>
      <c r="H402" s="57">
        <v>0.249</v>
      </c>
      <c r="I402" s="57">
        <v>0.158</v>
      </c>
      <c r="J402" s="57">
        <v>5.89</v>
      </c>
      <c r="K402" s="57">
        <v>1.68</v>
      </c>
      <c r="L402" s="70">
        <v>44676</v>
      </c>
    </row>
    <row r="403" spans="1:12" x14ac:dyDescent="0.2">
      <c r="A403" s="57" t="s">
        <v>59</v>
      </c>
      <c r="B403" s="57">
        <v>2376</v>
      </c>
      <c r="C403" s="57">
        <v>2</v>
      </c>
      <c r="D403" s="57">
        <v>1</v>
      </c>
      <c r="F403" s="57">
        <v>1.964</v>
      </c>
      <c r="G403" s="57">
        <v>1.214</v>
      </c>
      <c r="H403" s="57">
        <v>0.29799999999999999</v>
      </c>
      <c r="I403" s="57">
        <v>0.19</v>
      </c>
      <c r="J403" s="57">
        <v>6.4</v>
      </c>
      <c r="K403" s="57">
        <v>1.625</v>
      </c>
      <c r="L403" s="70">
        <v>44676</v>
      </c>
    </row>
    <row r="404" spans="1:12" x14ac:dyDescent="0.2">
      <c r="A404" s="57" t="s">
        <v>59</v>
      </c>
      <c r="B404" s="57">
        <v>2331</v>
      </c>
      <c r="C404" s="57">
        <v>1</v>
      </c>
      <c r="D404" s="57">
        <v>0</v>
      </c>
      <c r="F404" s="57">
        <v>0.34399999999999997</v>
      </c>
      <c r="G404" s="57">
        <v>0.192</v>
      </c>
      <c r="H404" s="57">
        <v>5.8000000000000003E-2</v>
      </c>
      <c r="I404" s="57">
        <v>3.4000000000000002E-2</v>
      </c>
      <c r="J404" s="57">
        <v>2.2000000000000002</v>
      </c>
      <c r="K404" s="57">
        <v>0.98750000000000004</v>
      </c>
      <c r="L404" s="70">
        <v>44676</v>
      </c>
    </row>
    <row r="405" spans="1:12" x14ac:dyDescent="0.2">
      <c r="A405" s="57" t="s">
        <v>159</v>
      </c>
      <c r="B405" s="57">
        <v>2009</v>
      </c>
      <c r="C405" s="57">
        <v>1</v>
      </c>
      <c r="D405" s="57">
        <v>0</v>
      </c>
      <c r="F405" s="57">
        <v>0.97399999999999998</v>
      </c>
      <c r="G405" s="57">
        <v>0.54700000000000004</v>
      </c>
      <c r="H405" s="57">
        <v>0.11799999999999999</v>
      </c>
      <c r="I405" s="57">
        <v>6.4000000000000001E-2</v>
      </c>
      <c r="J405" s="57">
        <v>2.0499999999999998</v>
      </c>
      <c r="K405" s="57">
        <v>1.335</v>
      </c>
      <c r="L405" s="70">
        <v>44676</v>
      </c>
    </row>
    <row r="406" spans="1:12" x14ac:dyDescent="0.2">
      <c r="A406" s="57" t="s">
        <v>159</v>
      </c>
      <c r="B406" s="57">
        <v>2383</v>
      </c>
      <c r="C406" s="57">
        <v>3</v>
      </c>
      <c r="D406" s="57">
        <v>0</v>
      </c>
      <c r="F406" s="57">
        <v>0.42699999999999999</v>
      </c>
      <c r="G406" s="57">
        <v>0.25</v>
      </c>
      <c r="H406" s="57">
        <v>3.6999999999999998E-2</v>
      </c>
      <c r="I406" s="57">
        <v>0.02</v>
      </c>
      <c r="J406" s="57">
        <v>1.04</v>
      </c>
      <c r="K406" s="57">
        <v>1.0525</v>
      </c>
      <c r="L406" s="70">
        <v>44676</v>
      </c>
    </row>
    <row r="407" spans="1:12" x14ac:dyDescent="0.2">
      <c r="A407" s="57" t="s">
        <v>59</v>
      </c>
      <c r="B407" s="57">
        <v>2377</v>
      </c>
      <c r="C407" s="57">
        <v>3</v>
      </c>
      <c r="D407" s="57">
        <v>1</v>
      </c>
      <c r="F407" s="57">
        <v>0.35299999999999998</v>
      </c>
      <c r="G407" s="57">
        <v>0.22500000000000001</v>
      </c>
      <c r="H407" s="57">
        <v>0.28000000000000003</v>
      </c>
      <c r="I407" s="57">
        <v>0.16600000000000001</v>
      </c>
      <c r="J407" s="57">
        <v>4.8099999999999996</v>
      </c>
      <c r="K407" s="57">
        <v>1.8274999999999999</v>
      </c>
      <c r="L407" s="70">
        <v>44676</v>
      </c>
    </row>
    <row r="408" spans="1:12" x14ac:dyDescent="0.2">
      <c r="A408" s="57" t="s">
        <v>59</v>
      </c>
      <c r="B408" s="57">
        <v>2301</v>
      </c>
      <c r="C408" s="57">
        <v>2</v>
      </c>
      <c r="D408" s="57">
        <v>1</v>
      </c>
      <c r="F408" s="57">
        <v>2.7170000000000001</v>
      </c>
      <c r="G408" s="57">
        <v>1.6659999999999999</v>
      </c>
      <c r="H408" s="57">
        <v>0.30299999999999999</v>
      </c>
      <c r="I408" s="57">
        <v>0.187</v>
      </c>
      <c r="J408" s="57">
        <v>5.32</v>
      </c>
      <c r="K408" s="57">
        <v>1.7375</v>
      </c>
      <c r="L408" s="70">
        <v>44676</v>
      </c>
    </row>
    <row r="409" spans="1:12" x14ac:dyDescent="0.2">
      <c r="A409" s="57" t="s">
        <v>159</v>
      </c>
      <c r="B409" s="57">
        <v>2382</v>
      </c>
      <c r="C409" s="57">
        <v>3</v>
      </c>
      <c r="D409" s="57">
        <v>0</v>
      </c>
      <c r="F409" s="57">
        <v>0.53100000000000003</v>
      </c>
      <c r="G409" s="57">
        <v>0.312</v>
      </c>
      <c r="H409" s="57">
        <v>4.3999999999999997E-2</v>
      </c>
      <c r="I409" s="57">
        <v>2.5000000000000001E-2</v>
      </c>
      <c r="J409" s="57">
        <v>1.19</v>
      </c>
      <c r="K409" s="57">
        <v>1.0649999999999999</v>
      </c>
      <c r="L409" s="70">
        <v>44676</v>
      </c>
    </row>
    <row r="410" spans="1:12" x14ac:dyDescent="0.2">
      <c r="A410" s="57" t="s">
        <v>159</v>
      </c>
      <c r="B410" s="57">
        <v>2381</v>
      </c>
      <c r="C410" s="57">
        <v>3</v>
      </c>
      <c r="D410" s="57">
        <v>0</v>
      </c>
      <c r="F410" s="57">
        <v>1.0860000000000001</v>
      </c>
      <c r="G410" s="57">
        <v>0.59</v>
      </c>
      <c r="H410" s="57">
        <v>9.7000000000000003E-2</v>
      </c>
      <c r="I410" s="57">
        <v>5.0999999999999997E-2</v>
      </c>
      <c r="J410" s="57">
        <v>1.5</v>
      </c>
      <c r="K410" s="57">
        <v>1.33</v>
      </c>
      <c r="L410" s="70">
        <v>44676</v>
      </c>
    </row>
    <row r="411" spans="1:12" x14ac:dyDescent="0.2">
      <c r="A411" s="57" t="s">
        <v>59</v>
      </c>
      <c r="B411" s="57">
        <v>2380</v>
      </c>
      <c r="C411" s="57">
        <v>3</v>
      </c>
      <c r="D411" s="57">
        <v>1</v>
      </c>
      <c r="F411" s="57">
        <v>1.302</v>
      </c>
      <c r="G411" s="57">
        <v>0.84899999999999998</v>
      </c>
      <c r="H411" s="57">
        <v>0.217</v>
      </c>
      <c r="I411" s="57">
        <v>0.14699999999999999</v>
      </c>
      <c r="J411" s="57">
        <v>4.45</v>
      </c>
      <c r="K411" s="57">
        <v>1.4875</v>
      </c>
      <c r="L411" s="70">
        <v>44676</v>
      </c>
    </row>
    <row r="412" spans="1:12" x14ac:dyDescent="0.2">
      <c r="A412" s="57" t="s">
        <v>59</v>
      </c>
      <c r="B412" s="57">
        <v>2354</v>
      </c>
      <c r="C412" s="57">
        <v>1</v>
      </c>
      <c r="D412" s="57">
        <v>0</v>
      </c>
      <c r="F412" s="57">
        <v>0.77800000000000002</v>
      </c>
      <c r="G412" s="57">
        <v>0.41899999999999998</v>
      </c>
      <c r="H412" s="57">
        <v>0.05</v>
      </c>
      <c r="I412" s="57">
        <v>2.5000000000000001E-2</v>
      </c>
      <c r="J412" s="57">
        <v>2.65</v>
      </c>
      <c r="K412" s="57">
        <v>0.86250000000000004</v>
      </c>
      <c r="L412" s="70">
        <v>44676</v>
      </c>
    </row>
    <row r="413" spans="1:12" x14ac:dyDescent="0.2">
      <c r="A413" s="57" t="s">
        <v>159</v>
      </c>
      <c r="B413" s="57">
        <v>2011</v>
      </c>
      <c r="C413" s="57">
        <v>1</v>
      </c>
      <c r="D413" s="57">
        <v>0</v>
      </c>
      <c r="F413" s="57">
        <v>0.78100000000000003</v>
      </c>
      <c r="G413" s="57">
        <v>0.43099999999999999</v>
      </c>
      <c r="H413" s="57">
        <v>7.8E-2</v>
      </c>
      <c r="I413" s="57">
        <v>3.9E-2</v>
      </c>
      <c r="J413" s="57">
        <v>1.2</v>
      </c>
      <c r="K413" s="57">
        <v>1.1499999999999999</v>
      </c>
      <c r="L413" s="70">
        <v>44676</v>
      </c>
    </row>
    <row r="414" spans="1:12" x14ac:dyDescent="0.2">
      <c r="A414" s="57" t="s">
        <v>159</v>
      </c>
      <c r="B414" s="57">
        <v>2372</v>
      </c>
      <c r="C414" s="57">
        <v>2</v>
      </c>
      <c r="D414" s="57">
        <v>0</v>
      </c>
      <c r="F414" s="57">
        <v>0.75900000000000001</v>
      </c>
      <c r="G414" s="57">
        <v>0.41299999999999998</v>
      </c>
      <c r="H414" s="57">
        <v>0.04</v>
      </c>
      <c r="I414" s="57">
        <v>2.1000000000000001E-2</v>
      </c>
      <c r="J414" s="57">
        <v>1.1100000000000001</v>
      </c>
      <c r="K414" s="57">
        <v>0.96499999999999997</v>
      </c>
      <c r="L414" s="70">
        <v>44676</v>
      </c>
    </row>
    <row r="415" spans="1:12" x14ac:dyDescent="0.2">
      <c r="A415" s="57" t="s">
        <v>159</v>
      </c>
      <c r="B415" s="57">
        <v>2370</v>
      </c>
      <c r="C415" s="57">
        <v>1</v>
      </c>
      <c r="D415" s="57">
        <v>0</v>
      </c>
      <c r="F415" s="57">
        <v>0.40699999999999997</v>
      </c>
      <c r="G415" s="57">
        <v>0.218</v>
      </c>
      <c r="H415" s="57">
        <v>6.6000000000000003E-2</v>
      </c>
      <c r="I415" s="57">
        <v>3.5000000000000003E-2</v>
      </c>
      <c r="J415" s="57">
        <v>1.47</v>
      </c>
      <c r="K415" s="57">
        <v>0.89749999999999996</v>
      </c>
      <c r="L415" s="70">
        <v>44676</v>
      </c>
    </row>
    <row r="416" spans="1:12" x14ac:dyDescent="0.2">
      <c r="A416" s="57" t="s">
        <v>159</v>
      </c>
      <c r="B416" s="57">
        <v>2009</v>
      </c>
      <c r="C416" s="57">
        <v>2</v>
      </c>
      <c r="D416" s="57">
        <v>0</v>
      </c>
      <c r="F416" s="57">
        <v>0.82899999999999996</v>
      </c>
      <c r="G416" s="57">
        <v>0.47</v>
      </c>
      <c r="H416" s="57">
        <v>0.104</v>
      </c>
      <c r="I416" s="57">
        <v>5.6000000000000001E-2</v>
      </c>
      <c r="J416" s="57">
        <v>1.79</v>
      </c>
      <c r="K416" s="57">
        <v>1.1174999999999999</v>
      </c>
      <c r="L416" s="70">
        <v>44676</v>
      </c>
    </row>
    <row r="417" spans="1:12" x14ac:dyDescent="0.2">
      <c r="A417" s="57" t="s">
        <v>159</v>
      </c>
      <c r="B417" s="57">
        <v>2372</v>
      </c>
      <c r="C417" s="57">
        <v>1</v>
      </c>
      <c r="D417" s="57">
        <v>0</v>
      </c>
      <c r="F417" s="57">
        <v>0.98599999999999999</v>
      </c>
      <c r="G417" s="57">
        <v>0.53900000000000003</v>
      </c>
      <c r="H417" s="57">
        <v>0.10299999999999999</v>
      </c>
      <c r="I417" s="57">
        <v>5.5E-2</v>
      </c>
      <c r="J417" s="57">
        <v>1.92</v>
      </c>
      <c r="K417" s="57">
        <v>1.2775000000000001</v>
      </c>
      <c r="L417" s="70">
        <v>44676</v>
      </c>
    </row>
    <row r="418" spans="1:12" x14ac:dyDescent="0.2">
      <c r="A418" s="57" t="s">
        <v>59</v>
      </c>
      <c r="B418" s="57">
        <v>2380</v>
      </c>
      <c r="C418" s="57">
        <v>2</v>
      </c>
      <c r="D418" s="57">
        <v>1</v>
      </c>
      <c r="F418" s="57">
        <v>1.488</v>
      </c>
      <c r="G418" s="57">
        <v>0.98099999999999998</v>
      </c>
      <c r="H418" s="57">
        <v>0.39600000000000002</v>
      </c>
      <c r="I418" s="57">
        <v>0.26</v>
      </c>
      <c r="J418" s="57">
        <v>5.54</v>
      </c>
      <c r="K418" s="57">
        <v>2.0125000000000002</v>
      </c>
      <c r="L418" s="70">
        <v>44676</v>
      </c>
    </row>
    <row r="419" spans="1:12" x14ac:dyDescent="0.2">
      <c r="A419" s="57" t="s">
        <v>59</v>
      </c>
      <c r="B419" s="57">
        <v>2352</v>
      </c>
      <c r="C419" s="57">
        <v>2</v>
      </c>
      <c r="D419" s="57">
        <v>1</v>
      </c>
      <c r="F419" s="57">
        <v>8.7999999999999995E-2</v>
      </c>
      <c r="G419" s="57">
        <v>5.8999999999999997E-2</v>
      </c>
      <c r="H419" s="57">
        <v>3.4000000000000002E-2</v>
      </c>
      <c r="I419" s="57">
        <v>2.1999999999999999E-2</v>
      </c>
      <c r="J419" s="57">
        <v>2.0299999999999998</v>
      </c>
      <c r="K419" s="57">
        <v>1.335</v>
      </c>
      <c r="L419" s="70">
        <v>44676</v>
      </c>
    </row>
    <row r="420" spans="1:12" x14ac:dyDescent="0.2">
      <c r="A420" s="57" t="s">
        <v>159</v>
      </c>
      <c r="B420" s="57">
        <v>2371</v>
      </c>
      <c r="C420" s="57">
        <v>2</v>
      </c>
      <c r="D420" s="57">
        <v>0</v>
      </c>
      <c r="F420" s="57">
        <v>1.034</v>
      </c>
      <c r="G420" s="57">
        <v>0.54100000000000004</v>
      </c>
      <c r="H420" s="57">
        <v>0.126</v>
      </c>
      <c r="I420" s="57">
        <v>6.4000000000000001E-2</v>
      </c>
      <c r="J420" s="57">
        <v>2.2200000000000002</v>
      </c>
      <c r="K420" s="57">
        <v>1.3625</v>
      </c>
      <c r="L420" s="70">
        <v>44676</v>
      </c>
    </row>
    <row r="421" spans="1:12" x14ac:dyDescent="0.2">
      <c r="A421" s="57" t="s">
        <v>159</v>
      </c>
      <c r="B421" s="57">
        <v>2383</v>
      </c>
      <c r="C421" s="57">
        <v>2</v>
      </c>
      <c r="D421" s="57">
        <v>0</v>
      </c>
      <c r="F421" s="57">
        <v>1.1819999999999999</v>
      </c>
      <c r="G421" s="57">
        <v>0.68799999999999994</v>
      </c>
      <c r="H421" s="57">
        <v>0.14199999999999999</v>
      </c>
      <c r="I421" s="57">
        <v>7.8E-2</v>
      </c>
      <c r="J421" s="57">
        <v>1.92</v>
      </c>
      <c r="K421" s="57">
        <v>1.5525</v>
      </c>
      <c r="L421" s="70">
        <v>44676</v>
      </c>
    </row>
    <row r="422" spans="1:12" x14ac:dyDescent="0.2">
      <c r="A422" s="57" t="s">
        <v>159</v>
      </c>
      <c r="B422" s="57">
        <v>2382</v>
      </c>
      <c r="C422" s="57">
        <v>2</v>
      </c>
      <c r="D422" s="57">
        <v>0</v>
      </c>
      <c r="F422" s="57">
        <v>0.60899999999999999</v>
      </c>
      <c r="G422" s="57">
        <v>0.35799999999999998</v>
      </c>
      <c r="H422" s="57">
        <v>0.04</v>
      </c>
      <c r="I422" s="57">
        <v>2.3E-2</v>
      </c>
      <c r="J422" s="57">
        <v>1.1100000000000001</v>
      </c>
      <c r="K422" s="57">
        <v>1.1599999999999999</v>
      </c>
      <c r="L422" s="70">
        <v>44676</v>
      </c>
    </row>
    <row r="423" spans="1:12" x14ac:dyDescent="0.2">
      <c r="A423" s="57" t="s">
        <v>159</v>
      </c>
      <c r="B423" s="57">
        <v>2379</v>
      </c>
      <c r="C423" s="57">
        <v>1</v>
      </c>
      <c r="D423" s="57">
        <v>0</v>
      </c>
      <c r="F423" s="57">
        <v>0.96899999999999997</v>
      </c>
      <c r="G423" s="57">
        <v>0.53600000000000003</v>
      </c>
      <c r="H423" s="57">
        <v>0.08</v>
      </c>
      <c r="I423" s="57">
        <v>4.3999999999999997E-2</v>
      </c>
      <c r="J423" s="57">
        <v>1.61</v>
      </c>
      <c r="K423" s="57">
        <v>1.3149999999999999</v>
      </c>
      <c r="L423" s="70">
        <v>44676</v>
      </c>
    </row>
    <row r="424" spans="1:12" x14ac:dyDescent="0.2">
      <c r="A424" s="57" t="s">
        <v>159</v>
      </c>
      <c r="B424" s="57">
        <v>2378</v>
      </c>
      <c r="C424" s="57">
        <v>2</v>
      </c>
      <c r="D424" s="57">
        <v>0</v>
      </c>
      <c r="F424" s="57">
        <v>0.71899999999999997</v>
      </c>
      <c r="G424" s="57">
        <v>0.39200000000000002</v>
      </c>
      <c r="H424" s="57">
        <v>5.1999999999999998E-2</v>
      </c>
      <c r="I424" s="57">
        <v>2.9000000000000001E-2</v>
      </c>
      <c r="J424" s="57">
        <v>1.1599999999999999</v>
      </c>
      <c r="K424" s="57">
        <v>1.03</v>
      </c>
      <c r="L424" s="70">
        <v>44676</v>
      </c>
    </row>
    <row r="425" spans="1:12" x14ac:dyDescent="0.2">
      <c r="A425" s="57" t="s">
        <v>159</v>
      </c>
      <c r="B425" s="57">
        <v>2379</v>
      </c>
      <c r="C425" s="57">
        <v>2</v>
      </c>
      <c r="D425" s="57">
        <v>0</v>
      </c>
      <c r="F425" s="57">
        <v>0.49399999999999999</v>
      </c>
      <c r="G425" s="57">
        <v>0.27300000000000002</v>
      </c>
      <c r="H425" s="57">
        <v>2.5000000000000001E-2</v>
      </c>
      <c r="I425" s="57">
        <v>1.2999999999999999E-2</v>
      </c>
      <c r="J425" s="57">
        <v>0.71</v>
      </c>
      <c r="K425" s="57">
        <v>1.0649999999999999</v>
      </c>
      <c r="L425" s="70">
        <v>44676</v>
      </c>
    </row>
    <row r="426" spans="1:12" x14ac:dyDescent="0.2">
      <c r="A426" s="57" t="s">
        <v>159</v>
      </c>
      <c r="B426" s="57">
        <v>2384</v>
      </c>
      <c r="C426" s="57">
        <v>2</v>
      </c>
      <c r="D426" s="57">
        <v>0</v>
      </c>
      <c r="F426" s="57">
        <v>0.37</v>
      </c>
      <c r="G426" s="57">
        <v>0.21</v>
      </c>
      <c r="H426" s="57">
        <v>3.5000000000000003E-2</v>
      </c>
      <c r="I426" s="57">
        <v>1.9E-2</v>
      </c>
      <c r="J426" s="57">
        <v>1.04</v>
      </c>
      <c r="K426" s="57">
        <v>0.95250000000000001</v>
      </c>
      <c r="L426" s="70">
        <v>44676</v>
      </c>
    </row>
    <row r="427" spans="1:12" x14ac:dyDescent="0.2">
      <c r="A427" s="57" t="s">
        <v>159</v>
      </c>
      <c r="B427" s="57">
        <v>2365</v>
      </c>
      <c r="C427" s="57">
        <v>2</v>
      </c>
      <c r="D427" s="57">
        <v>0</v>
      </c>
      <c r="F427" s="57">
        <v>0.33800000000000002</v>
      </c>
      <c r="G427" s="57">
        <v>0.183</v>
      </c>
      <c r="H427" s="57">
        <v>0.02</v>
      </c>
      <c r="I427" s="57">
        <v>1.0999999999999999E-2</v>
      </c>
      <c r="J427" s="57">
        <v>0.7</v>
      </c>
      <c r="K427" s="57">
        <v>0.71750000000000003</v>
      </c>
      <c r="L427" s="70">
        <v>44676</v>
      </c>
    </row>
    <row r="428" spans="1:12" x14ac:dyDescent="0.2">
      <c r="A428" s="57" t="s">
        <v>159</v>
      </c>
      <c r="B428" s="57">
        <v>2371</v>
      </c>
      <c r="C428" s="57">
        <v>1</v>
      </c>
      <c r="D428" s="57">
        <v>0</v>
      </c>
      <c r="F428" s="57">
        <v>0.77100000000000002</v>
      </c>
      <c r="G428" s="57">
        <v>0.40300000000000002</v>
      </c>
      <c r="H428" s="57">
        <v>4.4999999999999998E-2</v>
      </c>
      <c r="I428" s="57">
        <v>2.3E-2</v>
      </c>
      <c r="J428" s="57">
        <v>1.23</v>
      </c>
      <c r="K428" s="57">
        <v>1.1425000000000001</v>
      </c>
      <c r="L428" s="70">
        <v>44676</v>
      </c>
    </row>
    <row r="429" spans="1:12" x14ac:dyDescent="0.2">
      <c r="A429" s="57" t="s">
        <v>159</v>
      </c>
      <c r="B429" s="57">
        <v>2378</v>
      </c>
      <c r="C429" s="57">
        <v>3</v>
      </c>
      <c r="D429" s="57">
        <v>0</v>
      </c>
      <c r="F429" s="57">
        <v>0.68799999999999994</v>
      </c>
      <c r="G429" s="57">
        <v>0.373</v>
      </c>
      <c r="H429" s="57">
        <v>6.9000000000000006E-2</v>
      </c>
      <c r="I429" s="57">
        <v>3.7999999999999999E-2</v>
      </c>
      <c r="J429" s="57">
        <v>1.54</v>
      </c>
      <c r="K429" s="57">
        <v>1.125</v>
      </c>
      <c r="L429" s="70">
        <v>44676</v>
      </c>
    </row>
    <row r="430" spans="1:12" x14ac:dyDescent="0.2">
      <c r="A430" s="57" t="s">
        <v>159</v>
      </c>
      <c r="B430" s="57">
        <v>2372</v>
      </c>
      <c r="C430" s="57">
        <v>3</v>
      </c>
      <c r="D430" s="57">
        <v>0</v>
      </c>
      <c r="F430" s="57">
        <v>1.1419999999999999</v>
      </c>
      <c r="G430" s="57">
        <v>0.625</v>
      </c>
      <c r="H430" s="57">
        <v>9.2999999999999999E-2</v>
      </c>
      <c r="I430" s="57">
        <v>4.8000000000000001E-2</v>
      </c>
      <c r="J430" s="57">
        <v>2.02</v>
      </c>
      <c r="K430" s="57">
        <v>1.2749999999999999</v>
      </c>
      <c r="L430" s="70">
        <v>44676</v>
      </c>
    </row>
    <row r="431" spans="1:12" x14ac:dyDescent="0.2">
      <c r="A431" s="57" t="s">
        <v>159</v>
      </c>
      <c r="B431" s="57">
        <v>2367</v>
      </c>
      <c r="C431" s="57">
        <v>3</v>
      </c>
      <c r="D431" s="57">
        <v>0</v>
      </c>
      <c r="F431" s="57">
        <v>0.374</v>
      </c>
      <c r="G431" s="57">
        <v>0.20499999999999999</v>
      </c>
      <c r="H431" s="57">
        <v>3.7999999999999999E-2</v>
      </c>
      <c r="I431" s="57">
        <v>2.1000000000000001E-2</v>
      </c>
      <c r="J431" s="57">
        <v>1.67</v>
      </c>
      <c r="K431" s="57">
        <v>0.755</v>
      </c>
      <c r="L431" s="70">
        <v>44676</v>
      </c>
    </row>
    <row r="432" spans="1:12" x14ac:dyDescent="0.2">
      <c r="A432" s="57" t="s">
        <v>59</v>
      </c>
      <c r="B432" s="57">
        <v>2354</v>
      </c>
      <c r="C432" s="57">
        <v>2</v>
      </c>
      <c r="D432" s="57">
        <v>0</v>
      </c>
      <c r="F432" s="57">
        <v>0.86199999999999999</v>
      </c>
      <c r="G432" s="57">
        <v>0.46899999999999997</v>
      </c>
      <c r="H432" s="57">
        <v>7.3999999999999996E-2</v>
      </c>
      <c r="I432" s="57">
        <v>3.7999999999999999E-2</v>
      </c>
      <c r="J432" s="57">
        <v>3.87</v>
      </c>
      <c r="K432" s="57">
        <v>0.93</v>
      </c>
      <c r="L432" s="70">
        <v>44676</v>
      </c>
    </row>
    <row r="433" spans="1:13" x14ac:dyDescent="0.2">
      <c r="A433" s="57" t="s">
        <v>159</v>
      </c>
      <c r="B433" s="57">
        <v>2010</v>
      </c>
      <c r="C433" s="57">
        <v>2</v>
      </c>
      <c r="D433" s="57">
        <v>0</v>
      </c>
      <c r="F433" s="57">
        <v>0.67600000000000005</v>
      </c>
      <c r="G433" s="57">
        <v>0.36099999999999999</v>
      </c>
      <c r="H433" s="57">
        <v>0.11799999999999999</v>
      </c>
      <c r="I433" s="57">
        <v>0.06</v>
      </c>
      <c r="J433" s="57">
        <v>1.37</v>
      </c>
      <c r="K433" s="57">
        <v>1.3025</v>
      </c>
      <c r="L433" s="70">
        <v>44676</v>
      </c>
    </row>
    <row r="434" spans="1:13" x14ac:dyDescent="0.2">
      <c r="A434" s="57" t="s">
        <v>59</v>
      </c>
      <c r="B434" s="57">
        <v>2380</v>
      </c>
      <c r="C434" s="57">
        <v>1</v>
      </c>
      <c r="D434" s="57">
        <v>1</v>
      </c>
      <c r="F434" s="57">
        <v>1.4319999999999999</v>
      </c>
      <c r="G434" s="57">
        <v>0.91800000000000004</v>
      </c>
      <c r="H434" s="57">
        <v>0.23899999999999999</v>
      </c>
      <c r="I434" s="57">
        <v>0.156</v>
      </c>
      <c r="J434" s="57">
        <v>4.99</v>
      </c>
      <c r="K434" s="57">
        <v>1.8049999999999999</v>
      </c>
      <c r="L434" s="70">
        <v>44676</v>
      </c>
    </row>
    <row r="435" spans="1:13" x14ac:dyDescent="0.2">
      <c r="A435" s="57" t="s">
        <v>159</v>
      </c>
      <c r="B435" s="57">
        <v>2346</v>
      </c>
      <c r="C435" s="57">
        <v>3</v>
      </c>
      <c r="D435" s="57">
        <v>0</v>
      </c>
      <c r="F435" s="57">
        <v>0.32900000000000001</v>
      </c>
      <c r="G435" s="57">
        <v>0.185</v>
      </c>
      <c r="H435" s="57">
        <v>2.1000000000000001E-2</v>
      </c>
      <c r="I435" s="57">
        <v>1.2E-2</v>
      </c>
      <c r="J435" s="57">
        <v>0.82</v>
      </c>
      <c r="K435" s="57">
        <v>0.76</v>
      </c>
      <c r="L435" s="70">
        <v>44676</v>
      </c>
    </row>
    <row r="436" spans="1:13" x14ac:dyDescent="0.2">
      <c r="A436" s="57" t="s">
        <v>159</v>
      </c>
      <c r="B436" s="57">
        <v>2369</v>
      </c>
      <c r="C436" s="57">
        <v>2</v>
      </c>
      <c r="D436" s="57">
        <v>0</v>
      </c>
      <c r="F436" s="57">
        <v>0.60799999999999998</v>
      </c>
      <c r="G436" s="57">
        <v>0.33500000000000002</v>
      </c>
      <c r="H436" s="57">
        <v>2.1999999999999999E-2</v>
      </c>
      <c r="I436" s="57">
        <v>1.2E-2</v>
      </c>
      <c r="J436" s="57">
        <v>0.57999999999999996</v>
      </c>
      <c r="K436" s="57">
        <v>1.0349999999999999</v>
      </c>
      <c r="L436" s="70">
        <v>44676</v>
      </c>
    </row>
    <row r="437" spans="1:13" x14ac:dyDescent="0.2">
      <c r="A437" s="57" t="s">
        <v>159</v>
      </c>
      <c r="B437" s="57">
        <v>2347</v>
      </c>
      <c r="C437" s="57">
        <v>2</v>
      </c>
      <c r="D437" s="57">
        <v>0</v>
      </c>
      <c r="F437" s="57">
        <v>0.72799999999999998</v>
      </c>
      <c r="G437" s="57">
        <v>0.38500000000000001</v>
      </c>
      <c r="H437" s="57">
        <v>5.0999999999999997E-2</v>
      </c>
      <c r="I437" s="57">
        <v>2.5999999999999999E-2</v>
      </c>
      <c r="J437" s="57">
        <v>1</v>
      </c>
      <c r="K437" s="57">
        <v>0.98499999999999999</v>
      </c>
      <c r="L437" s="70">
        <v>44676</v>
      </c>
    </row>
    <row r="438" spans="1:13" x14ac:dyDescent="0.2">
      <c r="A438" s="57" t="s">
        <v>159</v>
      </c>
      <c r="B438" s="57">
        <v>2009</v>
      </c>
      <c r="C438" s="57">
        <v>3</v>
      </c>
      <c r="D438" s="57">
        <v>0</v>
      </c>
      <c r="F438" s="57">
        <v>0.66100000000000003</v>
      </c>
      <c r="G438" s="57">
        <v>0.378</v>
      </c>
      <c r="H438" s="57">
        <v>9.2999999999999999E-2</v>
      </c>
      <c r="I438" s="57">
        <v>5.0999999999999997E-2</v>
      </c>
      <c r="J438" s="57">
        <v>1.86</v>
      </c>
      <c r="K438" s="57">
        <v>1.2575000000000001</v>
      </c>
      <c r="L438" s="70">
        <v>44676</v>
      </c>
    </row>
    <row r="439" spans="1:13" x14ac:dyDescent="0.2">
      <c r="A439" s="57" t="s">
        <v>59</v>
      </c>
      <c r="B439" s="57">
        <v>2376</v>
      </c>
      <c r="C439" s="57">
        <v>3</v>
      </c>
      <c r="D439" s="57">
        <v>1</v>
      </c>
      <c r="F439" s="57">
        <v>2.2370000000000001</v>
      </c>
      <c r="G439" s="57">
        <v>1.4139999999999999</v>
      </c>
      <c r="H439" s="57">
        <v>0.376</v>
      </c>
      <c r="I439" s="57">
        <v>0.24199999999999999</v>
      </c>
      <c r="J439" s="57">
        <v>6.32</v>
      </c>
      <c r="K439" s="57">
        <v>1.7825</v>
      </c>
      <c r="L439" s="70">
        <v>44676</v>
      </c>
    </row>
    <row r="440" spans="1:13" x14ac:dyDescent="0.2">
      <c r="A440" s="57" t="s">
        <v>59</v>
      </c>
      <c r="B440" s="57">
        <v>2376</v>
      </c>
      <c r="C440" s="57">
        <v>1</v>
      </c>
      <c r="D440" s="57">
        <v>1</v>
      </c>
      <c r="F440" s="57">
        <v>1.325</v>
      </c>
      <c r="G440" s="57">
        <v>0.82399999999999995</v>
      </c>
      <c r="H440" s="57">
        <v>0.18099999999999999</v>
      </c>
      <c r="I440" s="57">
        <v>0.114</v>
      </c>
      <c r="J440" s="57">
        <v>4.9800000000000004</v>
      </c>
      <c r="K440" s="57">
        <v>1.39</v>
      </c>
      <c r="L440" s="70">
        <v>44676</v>
      </c>
    </row>
    <row r="441" spans="1:13" x14ac:dyDescent="0.2">
      <c r="A441" s="57" t="s">
        <v>159</v>
      </c>
      <c r="B441" s="57">
        <v>2343</v>
      </c>
      <c r="C441" s="57">
        <v>1</v>
      </c>
      <c r="D441" s="57">
        <v>0</v>
      </c>
      <c r="F441" s="57">
        <v>0.78900000000000003</v>
      </c>
      <c r="G441" s="57">
        <v>0.435</v>
      </c>
      <c r="H441" s="57">
        <v>8.1000000000000003E-2</v>
      </c>
      <c r="I441" s="57">
        <v>4.2000000000000003E-2</v>
      </c>
      <c r="J441" s="57">
        <v>1.56</v>
      </c>
      <c r="K441" s="57">
        <v>1.2825</v>
      </c>
      <c r="L441" s="70">
        <v>44676</v>
      </c>
    </row>
    <row r="442" spans="1:13" x14ac:dyDescent="0.2">
      <c r="A442" s="57" t="s">
        <v>59</v>
      </c>
      <c r="B442" s="57">
        <v>2331</v>
      </c>
      <c r="C442" s="57">
        <v>2</v>
      </c>
      <c r="D442" s="57">
        <v>1</v>
      </c>
      <c r="F442" s="57">
        <v>0.749</v>
      </c>
      <c r="G442" s="57">
        <v>0.497</v>
      </c>
      <c r="H442" s="57">
        <v>0.183</v>
      </c>
      <c r="I442" s="57">
        <v>0.12</v>
      </c>
      <c r="J442" s="57">
        <v>5.27</v>
      </c>
      <c r="K442" s="57">
        <v>1.5</v>
      </c>
      <c r="L442" s="70">
        <v>44676</v>
      </c>
    </row>
    <row r="443" spans="1:13" x14ac:dyDescent="0.2">
      <c r="A443" s="57" t="s">
        <v>159</v>
      </c>
      <c r="B443" s="57">
        <v>2010</v>
      </c>
      <c r="C443" s="57">
        <v>3</v>
      </c>
      <c r="D443" s="57">
        <v>0</v>
      </c>
      <c r="F443" s="57">
        <v>0.88800000000000001</v>
      </c>
      <c r="G443" s="57">
        <v>0.48499999999999999</v>
      </c>
      <c r="H443" s="57">
        <v>0.14899999999999999</v>
      </c>
      <c r="I443" s="57">
        <v>7.1999999999999995E-2</v>
      </c>
      <c r="J443" s="57">
        <v>2.54</v>
      </c>
      <c r="K443" s="57">
        <v>1.6074999999999999</v>
      </c>
      <c r="L443" s="70">
        <v>44676</v>
      </c>
    </row>
    <row r="444" spans="1:13" x14ac:dyDescent="0.2">
      <c r="A444" s="57" t="s">
        <v>159</v>
      </c>
      <c r="B444" s="57">
        <v>2343</v>
      </c>
      <c r="C444" s="57">
        <v>2</v>
      </c>
      <c r="D444" s="57">
        <v>0</v>
      </c>
      <c r="F444" s="57">
        <v>1.0760000000000001</v>
      </c>
      <c r="G444" s="57">
        <v>0.59799999999999998</v>
      </c>
      <c r="H444" s="57">
        <v>0.08</v>
      </c>
      <c r="I444" s="57">
        <v>4.2999999999999997E-2</v>
      </c>
      <c r="J444" s="57">
        <v>1.78</v>
      </c>
      <c r="K444" s="57">
        <v>1.3225</v>
      </c>
      <c r="L444" s="70">
        <v>44676</v>
      </c>
    </row>
    <row r="445" spans="1:13" x14ac:dyDescent="0.2">
      <c r="A445" s="57" t="s">
        <v>59</v>
      </c>
      <c r="B445" s="57">
        <v>2331</v>
      </c>
      <c r="C445" s="57">
        <v>3</v>
      </c>
      <c r="D445" s="57">
        <v>0</v>
      </c>
      <c r="F445" s="57">
        <v>0.17100000000000001</v>
      </c>
      <c r="G445" s="57">
        <v>9.9000000000000005E-2</v>
      </c>
      <c r="H445" s="57">
        <v>5.2999999999999999E-2</v>
      </c>
      <c r="I445" s="57">
        <v>2.9000000000000001E-2</v>
      </c>
      <c r="J445" s="57">
        <v>2.31</v>
      </c>
      <c r="K445" s="57">
        <v>0.88749999999999996</v>
      </c>
      <c r="L445" s="70">
        <v>44676</v>
      </c>
    </row>
    <row r="446" spans="1:13" x14ac:dyDescent="0.2">
      <c r="A446" s="57" t="s">
        <v>159</v>
      </c>
      <c r="B446" s="57">
        <v>2347</v>
      </c>
      <c r="C446" s="57">
        <v>3</v>
      </c>
      <c r="D446" s="57">
        <v>0</v>
      </c>
      <c r="F446" s="57">
        <v>0.83399999999999996</v>
      </c>
      <c r="G446" s="57">
        <v>0.442</v>
      </c>
      <c r="H446" s="57">
        <v>6.2E-2</v>
      </c>
      <c r="I446" s="57">
        <v>3.2000000000000001E-2</v>
      </c>
      <c r="J446" s="57">
        <v>1.35</v>
      </c>
      <c r="K446" s="57">
        <v>0.95499999999999996</v>
      </c>
      <c r="L446" s="70">
        <v>44676</v>
      </c>
    </row>
    <row r="447" spans="1:13" x14ac:dyDescent="0.2">
      <c r="A447" s="57" t="s">
        <v>159</v>
      </c>
      <c r="B447" s="57">
        <v>2010</v>
      </c>
      <c r="C447" s="57">
        <v>1</v>
      </c>
      <c r="D447" s="57">
        <v>0</v>
      </c>
      <c r="F447" s="57">
        <v>0.86</v>
      </c>
      <c r="G447" s="57">
        <v>0.46200000000000002</v>
      </c>
      <c r="H447" s="57">
        <v>9.1999999999999998E-2</v>
      </c>
      <c r="I447" s="57">
        <v>4.5999999999999999E-2</v>
      </c>
      <c r="J447" s="57">
        <v>1.54</v>
      </c>
      <c r="K447" s="57">
        <v>1.4275</v>
      </c>
      <c r="L447" s="70">
        <v>44676</v>
      </c>
    </row>
    <row r="448" spans="1:13" x14ac:dyDescent="0.2">
      <c r="A448" s="57" t="s">
        <v>159</v>
      </c>
      <c r="B448" s="71">
        <v>2345</v>
      </c>
      <c r="C448" s="57">
        <v>3</v>
      </c>
      <c r="D448" s="57">
        <v>0</v>
      </c>
      <c r="F448" s="57">
        <v>1.0149999999999999</v>
      </c>
      <c r="G448" s="57">
        <v>0.54800000000000004</v>
      </c>
      <c r="H448" s="57">
        <v>9.4E-2</v>
      </c>
      <c r="I448" s="57">
        <v>4.9000000000000002E-2</v>
      </c>
      <c r="J448" s="57">
        <v>1.46</v>
      </c>
      <c r="K448" s="57">
        <v>1.4375</v>
      </c>
      <c r="L448" s="70">
        <v>44676</v>
      </c>
      <c r="M448" s="57" t="s">
        <v>164</v>
      </c>
    </row>
    <row r="449" spans="1:12" x14ac:dyDescent="0.2">
      <c r="A449" s="57" t="s">
        <v>159</v>
      </c>
      <c r="B449" s="57">
        <v>2369</v>
      </c>
      <c r="C449" s="57">
        <v>3</v>
      </c>
      <c r="D449" s="57">
        <v>0</v>
      </c>
      <c r="F449" s="57">
        <v>0.76300000000000001</v>
      </c>
      <c r="G449" s="57">
        <v>0.42299999999999999</v>
      </c>
      <c r="H449" s="57">
        <v>4.8000000000000001E-2</v>
      </c>
      <c r="I449" s="57">
        <v>2.7E-2</v>
      </c>
      <c r="J449" s="57">
        <v>1.25</v>
      </c>
      <c r="K449" s="57">
        <v>0.9425</v>
      </c>
      <c r="L449" s="70">
        <v>44676</v>
      </c>
    </row>
    <row r="450" spans="1:12" x14ac:dyDescent="0.2">
      <c r="A450" s="57" t="s">
        <v>159</v>
      </c>
      <c r="B450" s="57">
        <v>2382</v>
      </c>
      <c r="C450" s="57">
        <v>1</v>
      </c>
      <c r="D450" s="57">
        <v>0</v>
      </c>
      <c r="F450" s="57">
        <v>0.70599999999999996</v>
      </c>
      <c r="G450" s="57">
        <v>0.41599999999999998</v>
      </c>
      <c r="H450" s="57">
        <v>5.8000000000000003E-2</v>
      </c>
      <c r="I450" s="57">
        <v>3.3000000000000002E-2</v>
      </c>
      <c r="J450" s="57">
        <v>1.23</v>
      </c>
      <c r="K450" s="57">
        <v>1.1775</v>
      </c>
      <c r="L450" s="70">
        <v>44676</v>
      </c>
    </row>
    <row r="451" spans="1:12" x14ac:dyDescent="0.2">
      <c r="A451" s="57" t="s">
        <v>159</v>
      </c>
      <c r="B451" s="57">
        <v>2367</v>
      </c>
      <c r="C451" s="57">
        <v>1</v>
      </c>
      <c r="D451" s="57">
        <v>0</v>
      </c>
      <c r="F451" s="57">
        <v>0.434</v>
      </c>
      <c r="G451" s="57">
        <v>0.23499999999999999</v>
      </c>
      <c r="H451" s="57">
        <v>0.03</v>
      </c>
      <c r="I451" s="57">
        <v>1.7000000000000001E-2</v>
      </c>
      <c r="J451" s="57">
        <v>1.17</v>
      </c>
      <c r="K451" s="57">
        <v>0.89249999999999996</v>
      </c>
      <c r="L451" s="70">
        <v>44676</v>
      </c>
    </row>
    <row r="452" spans="1:12" x14ac:dyDescent="0.2">
      <c r="A452" s="57" t="s">
        <v>59</v>
      </c>
      <c r="B452" s="57">
        <v>2377</v>
      </c>
      <c r="C452" s="57">
        <v>2</v>
      </c>
      <c r="D452" s="57">
        <v>1</v>
      </c>
      <c r="F452" s="57">
        <v>0.22500000000000001</v>
      </c>
      <c r="G452" s="57">
        <v>0.14899999999999999</v>
      </c>
      <c r="H452" s="57">
        <v>0.13</v>
      </c>
      <c r="I452" s="57">
        <v>7.6999999999999999E-2</v>
      </c>
      <c r="J452" s="57">
        <v>2.94</v>
      </c>
      <c r="K452" s="57">
        <v>1.42</v>
      </c>
      <c r="L452" s="70">
        <v>44676</v>
      </c>
    </row>
    <row r="453" spans="1:12" x14ac:dyDescent="0.2">
      <c r="A453" s="57" t="s">
        <v>159</v>
      </c>
      <c r="B453" s="57">
        <v>2365</v>
      </c>
      <c r="C453" s="57">
        <v>1</v>
      </c>
      <c r="D453" s="57">
        <v>0</v>
      </c>
      <c r="F453" s="57">
        <v>0.375</v>
      </c>
      <c r="G453" s="57">
        <v>0.20499999999999999</v>
      </c>
      <c r="H453" s="57">
        <v>3.4000000000000002E-2</v>
      </c>
      <c r="I453" s="57">
        <v>0.02</v>
      </c>
      <c r="J453" s="57">
        <v>0.99</v>
      </c>
      <c r="K453" s="57">
        <v>0.755</v>
      </c>
      <c r="L453" s="70">
        <v>44676</v>
      </c>
    </row>
    <row r="454" spans="1:12" x14ac:dyDescent="0.2">
      <c r="A454" s="57" t="s">
        <v>59</v>
      </c>
      <c r="B454" s="57">
        <v>2331</v>
      </c>
      <c r="C454" s="57">
        <v>3</v>
      </c>
      <c r="D454" s="57">
        <v>1</v>
      </c>
      <c r="F454" s="57">
        <v>1.22</v>
      </c>
      <c r="G454" s="57">
        <v>0.78</v>
      </c>
      <c r="H454" s="57">
        <v>0.23899999999999999</v>
      </c>
      <c r="I454" s="57">
        <v>0.156</v>
      </c>
      <c r="J454" s="57">
        <v>5.38</v>
      </c>
      <c r="K454" s="57">
        <v>1.89</v>
      </c>
      <c r="L454" s="70">
        <v>44676</v>
      </c>
    </row>
    <row r="455" spans="1:12" x14ac:dyDescent="0.2">
      <c r="A455" s="57" t="s">
        <v>159</v>
      </c>
      <c r="B455" s="57">
        <v>2360</v>
      </c>
      <c r="C455" s="57">
        <v>3</v>
      </c>
      <c r="D455" s="57">
        <v>0</v>
      </c>
      <c r="F455" s="57">
        <v>0.316</v>
      </c>
      <c r="G455" s="57">
        <v>0.17899999999999999</v>
      </c>
      <c r="H455" s="57">
        <v>2.5000000000000001E-2</v>
      </c>
      <c r="I455" s="57">
        <v>1.4E-2</v>
      </c>
      <c r="J455" s="57">
        <v>0.89</v>
      </c>
      <c r="K455" s="57">
        <v>1.0024999999999999</v>
      </c>
      <c r="L455" s="70">
        <v>44676</v>
      </c>
    </row>
    <row r="456" spans="1:12" x14ac:dyDescent="0.2">
      <c r="A456" s="57" t="s">
        <v>159</v>
      </c>
      <c r="B456" s="57">
        <v>2346</v>
      </c>
      <c r="C456" s="57">
        <v>2</v>
      </c>
      <c r="D456" s="57">
        <v>0</v>
      </c>
      <c r="F456" s="57">
        <v>0.22900000000000001</v>
      </c>
      <c r="G456" s="57">
        <v>0.129</v>
      </c>
      <c r="H456" s="57">
        <v>2.8000000000000001E-2</v>
      </c>
      <c r="I456" s="57">
        <v>1.6E-2</v>
      </c>
      <c r="J456" s="57">
        <v>1.0900000000000001</v>
      </c>
      <c r="K456" s="57">
        <v>0.72250000000000003</v>
      </c>
      <c r="L456" s="70">
        <v>44676</v>
      </c>
    </row>
    <row r="457" spans="1:12" x14ac:dyDescent="0.2">
      <c r="A457" s="57" t="s">
        <v>59</v>
      </c>
      <c r="B457" s="57">
        <v>2377</v>
      </c>
      <c r="C457" s="57">
        <v>1</v>
      </c>
      <c r="D457" s="57">
        <v>0</v>
      </c>
      <c r="F457" s="57">
        <v>0.68600000000000005</v>
      </c>
      <c r="G457" s="57">
        <v>0.38500000000000001</v>
      </c>
      <c r="H457" s="57">
        <v>0.105</v>
      </c>
      <c r="I457" s="57">
        <v>5.5E-2</v>
      </c>
      <c r="J457" s="57">
        <v>3.83</v>
      </c>
      <c r="K457" s="57">
        <v>1.2450000000000001</v>
      </c>
      <c r="L457" s="70">
        <v>44676</v>
      </c>
    </row>
    <row r="458" spans="1:12" x14ac:dyDescent="0.2">
      <c r="A458" s="57" t="s">
        <v>159</v>
      </c>
      <c r="B458" s="57">
        <v>2345</v>
      </c>
      <c r="C458" s="57">
        <v>2</v>
      </c>
      <c r="D458" s="57">
        <v>0</v>
      </c>
      <c r="F458" s="57">
        <v>0.57199999999999995</v>
      </c>
      <c r="G458" s="57">
        <v>0.311</v>
      </c>
      <c r="H458" s="57">
        <v>6.5000000000000002E-2</v>
      </c>
      <c r="I458" s="57">
        <v>3.2000000000000001E-2</v>
      </c>
      <c r="J458" s="57">
        <v>1.25</v>
      </c>
      <c r="K458" s="57">
        <v>1.1200000000000001</v>
      </c>
      <c r="L458" s="70">
        <v>44676</v>
      </c>
    </row>
    <row r="459" spans="1:12" x14ac:dyDescent="0.2">
      <c r="A459" s="57" t="s">
        <v>159</v>
      </c>
      <c r="B459" s="57">
        <v>2345</v>
      </c>
      <c r="C459" s="57">
        <v>1</v>
      </c>
      <c r="D459" s="57">
        <v>0</v>
      </c>
      <c r="F459" s="57">
        <v>0.66600000000000004</v>
      </c>
      <c r="G459" s="57">
        <v>0.35799999999999998</v>
      </c>
      <c r="H459" s="57">
        <v>4.3999999999999997E-2</v>
      </c>
      <c r="I459" s="57">
        <v>2.3E-2</v>
      </c>
      <c r="J459" s="57">
        <v>1.19</v>
      </c>
      <c r="K459" s="57">
        <v>1.2324999999999999</v>
      </c>
      <c r="L459" s="70">
        <v>44676</v>
      </c>
    </row>
    <row r="460" spans="1:12" x14ac:dyDescent="0.2">
      <c r="A460" s="57" t="s">
        <v>159</v>
      </c>
      <c r="B460" s="57">
        <v>2379</v>
      </c>
      <c r="C460" s="57">
        <v>3</v>
      </c>
      <c r="D460" s="57">
        <v>0</v>
      </c>
      <c r="F460" s="57">
        <v>0.34200000000000003</v>
      </c>
      <c r="G460" s="57">
        <v>0.191</v>
      </c>
      <c r="H460" s="57">
        <v>2.5000000000000001E-2</v>
      </c>
      <c r="I460" s="57">
        <v>1.4E-2</v>
      </c>
      <c r="J460" s="57">
        <v>0.92</v>
      </c>
      <c r="K460" s="57">
        <v>1.1399999999999999</v>
      </c>
      <c r="L460" s="70">
        <v>44676</v>
      </c>
    </row>
    <row r="461" spans="1:12" x14ac:dyDescent="0.2">
      <c r="A461" s="57" t="s">
        <v>59</v>
      </c>
      <c r="B461" s="57">
        <v>2331</v>
      </c>
      <c r="C461" s="57">
        <v>2</v>
      </c>
      <c r="D461" s="57">
        <v>0</v>
      </c>
      <c r="F461" s="57">
        <v>0.28299999999999997</v>
      </c>
      <c r="G461" s="57">
        <v>0.16500000000000001</v>
      </c>
      <c r="H461" s="57">
        <v>7.2999999999999995E-2</v>
      </c>
      <c r="I461" s="57">
        <v>4.1000000000000002E-2</v>
      </c>
      <c r="J461" s="57">
        <v>3.22</v>
      </c>
      <c r="K461" s="57">
        <v>1.0874999999999999</v>
      </c>
      <c r="L461" s="70">
        <v>44676</v>
      </c>
    </row>
    <row r="462" spans="1:12" x14ac:dyDescent="0.2">
      <c r="A462" s="57" t="s">
        <v>59</v>
      </c>
      <c r="B462" s="57">
        <v>2354</v>
      </c>
      <c r="C462" s="57">
        <v>1</v>
      </c>
      <c r="D462" s="57">
        <v>1</v>
      </c>
      <c r="F462" s="57">
        <v>0.34599999999999997</v>
      </c>
      <c r="G462" s="57">
        <v>0.216</v>
      </c>
      <c r="H462" s="57">
        <v>0.16200000000000001</v>
      </c>
      <c r="I462" s="57">
        <v>9.1999999999999998E-2</v>
      </c>
      <c r="J462" s="57">
        <v>4.96</v>
      </c>
      <c r="K462" s="57">
        <v>1.3875</v>
      </c>
      <c r="L462" s="70">
        <v>44676</v>
      </c>
    </row>
    <row r="463" spans="1:12" x14ac:dyDescent="0.2">
      <c r="A463" s="57" t="s">
        <v>159</v>
      </c>
      <c r="B463" s="57">
        <v>2369</v>
      </c>
      <c r="C463" s="57">
        <v>1</v>
      </c>
      <c r="D463" s="57">
        <v>0</v>
      </c>
      <c r="F463" s="57">
        <v>0.48099999999999998</v>
      </c>
      <c r="G463" s="57">
        <v>0.26600000000000001</v>
      </c>
      <c r="H463" s="57">
        <v>2.7E-2</v>
      </c>
      <c r="I463" s="57">
        <v>1.4E-2</v>
      </c>
      <c r="J463" s="57">
        <v>0.9</v>
      </c>
      <c r="K463" s="57">
        <v>0.99250000000000005</v>
      </c>
      <c r="L463" s="70">
        <v>44676</v>
      </c>
    </row>
    <row r="464" spans="1:12" x14ac:dyDescent="0.2">
      <c r="A464" s="57" t="s">
        <v>159</v>
      </c>
      <c r="B464" s="57">
        <v>2360</v>
      </c>
      <c r="C464" s="57">
        <v>2</v>
      </c>
      <c r="D464" s="57">
        <v>0</v>
      </c>
      <c r="F464" s="57">
        <v>0.42599999999999999</v>
      </c>
      <c r="G464" s="57">
        <v>0.24199999999999999</v>
      </c>
      <c r="H464" s="57">
        <v>2.1000000000000001E-2</v>
      </c>
      <c r="I464" s="57">
        <v>1.2E-2</v>
      </c>
      <c r="J464" s="57">
        <v>0.65</v>
      </c>
      <c r="K464" s="57">
        <v>0.90749999999999997</v>
      </c>
      <c r="L464" s="70">
        <v>44676</v>
      </c>
    </row>
    <row r="465" spans="1:12" x14ac:dyDescent="0.2">
      <c r="A465" s="57" t="s">
        <v>159</v>
      </c>
      <c r="B465" s="57">
        <v>2347</v>
      </c>
      <c r="C465" s="57">
        <v>1</v>
      </c>
      <c r="D465" s="57">
        <v>0</v>
      </c>
      <c r="F465" s="57">
        <v>0.81699999999999995</v>
      </c>
      <c r="G465" s="57">
        <v>0.432</v>
      </c>
      <c r="H465" s="57">
        <v>0.124</v>
      </c>
      <c r="I465" s="57">
        <v>6.4000000000000001E-2</v>
      </c>
      <c r="J465" s="57">
        <v>1.52</v>
      </c>
      <c r="K465" s="57">
        <v>1.0575000000000001</v>
      </c>
      <c r="L465" s="70">
        <v>44676</v>
      </c>
    </row>
    <row r="466" spans="1:12" x14ac:dyDescent="0.2">
      <c r="A466" s="57" t="s">
        <v>159</v>
      </c>
      <c r="B466" s="57">
        <v>2011</v>
      </c>
      <c r="C466" s="57">
        <v>2</v>
      </c>
      <c r="D466" s="57">
        <v>0</v>
      </c>
      <c r="F466" s="57">
        <v>0.59099999999999997</v>
      </c>
      <c r="G466" s="57">
        <v>0.32400000000000001</v>
      </c>
      <c r="H466" s="57">
        <v>6.0999999999999999E-2</v>
      </c>
      <c r="I466" s="57">
        <v>3.1E-2</v>
      </c>
      <c r="J466" s="57">
        <v>0.98</v>
      </c>
      <c r="K466" s="57">
        <v>1.1525000000000001</v>
      </c>
      <c r="L466" s="70">
        <v>44676</v>
      </c>
    </row>
    <row r="467" spans="1:12" x14ac:dyDescent="0.2">
      <c r="A467" s="57" t="s">
        <v>59</v>
      </c>
      <c r="B467" s="57">
        <v>2354</v>
      </c>
      <c r="C467" s="57">
        <v>3</v>
      </c>
      <c r="D467" s="57">
        <v>0</v>
      </c>
      <c r="F467" s="57">
        <v>0.90900000000000003</v>
      </c>
      <c r="G467" s="57">
        <v>0.499</v>
      </c>
      <c r="H467" s="57">
        <v>7.8E-2</v>
      </c>
      <c r="I467" s="57">
        <v>4.1000000000000002E-2</v>
      </c>
      <c r="J467" s="57">
        <v>3.93</v>
      </c>
      <c r="K467" s="57">
        <v>0.95</v>
      </c>
      <c r="L467" s="70">
        <v>44676</v>
      </c>
    </row>
    <row r="468" spans="1:12" x14ac:dyDescent="0.2">
      <c r="A468" s="57" t="s">
        <v>159</v>
      </c>
      <c r="B468" s="57">
        <v>2371</v>
      </c>
      <c r="C468" s="57">
        <v>3</v>
      </c>
      <c r="D468" s="57">
        <v>0</v>
      </c>
      <c r="F468" s="57">
        <v>0.53800000000000003</v>
      </c>
      <c r="G468" s="57">
        <v>0.28199999999999997</v>
      </c>
      <c r="H468" s="57">
        <v>9.0999999999999998E-2</v>
      </c>
      <c r="I468" s="57">
        <v>4.5999999999999999E-2</v>
      </c>
      <c r="J468" s="57">
        <v>1.87</v>
      </c>
      <c r="K468" s="57">
        <v>1.0575000000000001</v>
      </c>
      <c r="L468" s="70">
        <v>44676</v>
      </c>
    </row>
    <row r="469" spans="1:12" x14ac:dyDescent="0.2">
      <c r="A469" s="57" t="s">
        <v>159</v>
      </c>
      <c r="B469" s="57">
        <v>2370</v>
      </c>
      <c r="C469" s="57">
        <v>2</v>
      </c>
      <c r="D469" s="57">
        <v>0</v>
      </c>
      <c r="F469" s="57">
        <v>0.372</v>
      </c>
      <c r="G469" s="57">
        <v>0.22900000000000001</v>
      </c>
      <c r="H469" s="57">
        <v>6.9000000000000006E-2</v>
      </c>
      <c r="I469" s="57">
        <v>3.5999999999999997E-2</v>
      </c>
      <c r="J469" s="57">
        <v>1.42</v>
      </c>
      <c r="K469" s="57">
        <v>0.87749999999999995</v>
      </c>
      <c r="L469" s="70">
        <v>44676</v>
      </c>
    </row>
    <row r="470" spans="1:12" x14ac:dyDescent="0.2">
      <c r="A470" s="57" t="s">
        <v>159</v>
      </c>
      <c r="B470" s="57">
        <v>2360</v>
      </c>
      <c r="C470" s="57">
        <v>1</v>
      </c>
      <c r="D470" s="57">
        <v>0</v>
      </c>
      <c r="F470" s="57">
        <v>0.69499999999999995</v>
      </c>
      <c r="G470" s="57">
        <v>0.39300000000000002</v>
      </c>
      <c r="H470" s="57">
        <v>4.7E-2</v>
      </c>
      <c r="I470" s="57">
        <v>2.8000000000000001E-2</v>
      </c>
      <c r="J470" s="57">
        <v>1.51</v>
      </c>
      <c r="K470" s="57">
        <v>0.97750000000000004</v>
      </c>
      <c r="L470" s="70">
        <v>44676</v>
      </c>
    </row>
    <row r="471" spans="1:12" x14ac:dyDescent="0.2">
      <c r="A471" s="57" t="s">
        <v>159</v>
      </c>
      <c r="B471" s="57">
        <v>2383</v>
      </c>
      <c r="C471" s="57">
        <v>1</v>
      </c>
      <c r="D471" s="57">
        <v>0</v>
      </c>
      <c r="F471" s="57">
        <v>0.58099999999999996</v>
      </c>
      <c r="G471" s="57">
        <v>0.33900000000000002</v>
      </c>
      <c r="H471" s="57">
        <v>0.14699999999999999</v>
      </c>
      <c r="I471" s="57">
        <v>8.3000000000000004E-2</v>
      </c>
      <c r="J471" s="57">
        <v>1.39</v>
      </c>
      <c r="K471" s="57">
        <v>1.28</v>
      </c>
      <c r="L471" s="70">
        <v>44676</v>
      </c>
    </row>
    <row r="472" spans="1:12" x14ac:dyDescent="0.2">
      <c r="A472" s="57" t="s">
        <v>159</v>
      </c>
      <c r="B472" s="57">
        <v>2370</v>
      </c>
      <c r="C472" s="57">
        <v>3</v>
      </c>
      <c r="D472" s="57">
        <v>0</v>
      </c>
      <c r="F472" s="57">
        <v>0.36699999999999999</v>
      </c>
      <c r="G472" s="57">
        <v>0.19700000000000001</v>
      </c>
      <c r="H472" s="57">
        <v>4.9000000000000002E-2</v>
      </c>
      <c r="I472" s="57">
        <v>2.5000000000000001E-2</v>
      </c>
      <c r="J472" s="57">
        <v>1.04</v>
      </c>
      <c r="K472" s="57">
        <v>0.83</v>
      </c>
      <c r="L472" s="70">
        <v>44676</v>
      </c>
    </row>
    <row r="473" spans="1:12" x14ac:dyDescent="0.2">
      <c r="A473" s="57" t="s">
        <v>159</v>
      </c>
      <c r="B473" s="57">
        <v>1478</v>
      </c>
      <c r="C473" s="57">
        <v>3</v>
      </c>
      <c r="D473" s="57">
        <v>0</v>
      </c>
      <c r="F473" s="57">
        <v>0.44979999999999998</v>
      </c>
      <c r="G473" s="57">
        <v>0.22189999999999999</v>
      </c>
      <c r="H473" s="57">
        <v>4.5499999999999999E-2</v>
      </c>
      <c r="I473" s="57">
        <v>2.0199999999999999E-2</v>
      </c>
      <c r="J473" s="57">
        <v>1.1559999999999999</v>
      </c>
      <c r="K473" s="57">
        <v>1.31</v>
      </c>
      <c r="L473" s="70">
        <v>44678</v>
      </c>
    </row>
    <row r="474" spans="1:12" x14ac:dyDescent="0.2">
      <c r="A474" s="57" t="s">
        <v>159</v>
      </c>
      <c r="B474" s="57">
        <v>2088</v>
      </c>
      <c r="C474" s="57">
        <v>2</v>
      </c>
      <c r="D474" s="57">
        <v>0</v>
      </c>
      <c r="F474" s="57">
        <v>0.73760000000000003</v>
      </c>
      <c r="G474" s="57">
        <v>0.3508</v>
      </c>
      <c r="H474" s="57">
        <v>0.20569999999999999</v>
      </c>
      <c r="I474" s="57">
        <v>9.2100000000000001E-2</v>
      </c>
      <c r="J474" s="57">
        <v>3.702</v>
      </c>
      <c r="K474" s="57">
        <v>1.5375000000000001</v>
      </c>
      <c r="L474" s="70">
        <v>44678</v>
      </c>
    </row>
    <row r="475" spans="1:12" x14ac:dyDescent="0.2">
      <c r="A475" s="57" t="s">
        <v>159</v>
      </c>
      <c r="B475" s="57">
        <v>2028</v>
      </c>
      <c r="C475" s="57">
        <v>2</v>
      </c>
      <c r="D475" s="57">
        <v>0</v>
      </c>
      <c r="F475" s="57">
        <v>0.99039999999999995</v>
      </c>
      <c r="G475" s="57">
        <v>0.52849999999999997</v>
      </c>
      <c r="H475" s="57">
        <v>9.1700000000000004E-2</v>
      </c>
      <c r="I475" s="57">
        <v>4.9700000000000001E-2</v>
      </c>
      <c r="J475" s="57">
        <v>1.97</v>
      </c>
      <c r="K475" s="57">
        <v>1.37</v>
      </c>
      <c r="L475" s="70">
        <v>44678</v>
      </c>
    </row>
    <row r="476" spans="1:12" x14ac:dyDescent="0.2">
      <c r="A476" s="57" t="s">
        <v>159</v>
      </c>
      <c r="B476" s="57">
        <v>2005</v>
      </c>
      <c r="C476" s="57">
        <v>1</v>
      </c>
      <c r="D476" s="57">
        <v>0</v>
      </c>
      <c r="F476" s="57">
        <v>1.224</v>
      </c>
      <c r="G476" s="57">
        <v>0.57420000000000004</v>
      </c>
      <c r="H476" s="57">
        <v>0.1462</v>
      </c>
      <c r="I476" s="57">
        <v>7.0599999999999996E-2</v>
      </c>
      <c r="J476" s="57">
        <v>2.4700000000000002</v>
      </c>
      <c r="K476" s="57">
        <v>1.4575</v>
      </c>
      <c r="L476" s="70">
        <v>44678</v>
      </c>
    </row>
    <row r="477" spans="1:12" x14ac:dyDescent="0.2">
      <c r="A477" s="57" t="s">
        <v>59</v>
      </c>
      <c r="B477" s="57">
        <v>2092</v>
      </c>
      <c r="C477" s="57">
        <v>3</v>
      </c>
      <c r="D477" s="57">
        <v>0</v>
      </c>
      <c r="F477" s="57">
        <v>0.61150000000000004</v>
      </c>
      <c r="G477" s="57">
        <v>0.28470000000000001</v>
      </c>
      <c r="H477" s="57">
        <v>6.8099999999999994E-2</v>
      </c>
      <c r="I477" s="57">
        <v>3.2800000000000003E-2</v>
      </c>
      <c r="J477" s="57">
        <v>2.3010000000000002</v>
      </c>
      <c r="K477" s="57">
        <v>0.64</v>
      </c>
      <c r="L477" s="70">
        <v>44678</v>
      </c>
    </row>
    <row r="478" spans="1:12" x14ac:dyDescent="0.2">
      <c r="A478" s="57" t="s">
        <v>159</v>
      </c>
      <c r="B478" s="57">
        <v>2007</v>
      </c>
      <c r="C478" s="57">
        <v>2</v>
      </c>
      <c r="D478" s="57">
        <v>0</v>
      </c>
      <c r="F478" s="57">
        <v>0.76890000000000003</v>
      </c>
      <c r="G478" s="57">
        <v>0.39539999999999997</v>
      </c>
      <c r="H478" s="57">
        <v>5.67E-2</v>
      </c>
      <c r="I478" s="57">
        <v>2.9700000000000001E-2</v>
      </c>
      <c r="J478" s="57">
        <v>1.6830000000000001</v>
      </c>
      <c r="K478" s="57">
        <v>1.08</v>
      </c>
      <c r="L478" s="70">
        <v>44678</v>
      </c>
    </row>
    <row r="479" spans="1:12" x14ac:dyDescent="0.2">
      <c r="A479" s="57" t="s">
        <v>159</v>
      </c>
      <c r="B479" s="57">
        <v>2086</v>
      </c>
      <c r="C479" s="57">
        <v>2</v>
      </c>
      <c r="D479" s="57">
        <v>0</v>
      </c>
      <c r="F479" s="57">
        <v>1.4337</v>
      </c>
      <c r="G479" s="57">
        <v>0.6885</v>
      </c>
      <c r="H479" s="57">
        <v>0.2407</v>
      </c>
      <c r="I479" s="57">
        <v>0.1154</v>
      </c>
      <c r="J479" s="57">
        <v>2.92</v>
      </c>
      <c r="K479" s="57">
        <v>1.6074999999999999</v>
      </c>
      <c r="L479" s="70">
        <v>44678</v>
      </c>
    </row>
    <row r="480" spans="1:12" x14ac:dyDescent="0.2">
      <c r="A480" s="57" t="s">
        <v>59</v>
      </c>
      <c r="B480" s="57">
        <v>2089</v>
      </c>
      <c r="C480" s="57">
        <v>2</v>
      </c>
      <c r="D480" s="57">
        <v>1</v>
      </c>
      <c r="F480" s="57">
        <v>1.1044</v>
      </c>
      <c r="G480" s="57">
        <v>0.62360000000000004</v>
      </c>
      <c r="H480" s="57">
        <v>0.18529999999999999</v>
      </c>
      <c r="I480" s="57">
        <v>8.9300000000000004E-2</v>
      </c>
      <c r="J480" s="57">
        <v>4.0549999999999997</v>
      </c>
      <c r="K480" s="57">
        <v>1.7649999999999999</v>
      </c>
      <c r="L480" s="70">
        <v>44678</v>
      </c>
    </row>
    <row r="481" spans="1:12" x14ac:dyDescent="0.2">
      <c r="A481" s="57" t="s">
        <v>59</v>
      </c>
      <c r="B481" s="57">
        <v>2089</v>
      </c>
      <c r="C481" s="57">
        <v>1</v>
      </c>
      <c r="D481" s="57">
        <v>0</v>
      </c>
      <c r="F481" s="57">
        <v>2.0213999999999999</v>
      </c>
      <c r="G481" s="57">
        <v>0.51029999999999998</v>
      </c>
      <c r="H481" s="57">
        <v>0.2059</v>
      </c>
      <c r="I481" s="57">
        <v>6.3799999999999996E-2</v>
      </c>
      <c r="J481" s="57">
        <v>5.7050000000000001</v>
      </c>
      <c r="K481" s="57">
        <v>1.1875</v>
      </c>
      <c r="L481" s="70">
        <v>44678</v>
      </c>
    </row>
    <row r="482" spans="1:12" x14ac:dyDescent="0.2">
      <c r="A482" s="57" t="s">
        <v>159</v>
      </c>
      <c r="B482" s="57">
        <v>2026</v>
      </c>
      <c r="C482" s="57">
        <v>2</v>
      </c>
      <c r="D482" s="57">
        <v>0</v>
      </c>
      <c r="F482" s="57">
        <v>0.87790000000000001</v>
      </c>
      <c r="G482" s="57">
        <v>0.46429999999999999</v>
      </c>
      <c r="H482" s="57">
        <v>0.16320000000000001</v>
      </c>
      <c r="I482" s="57">
        <v>8.6800000000000002E-2</v>
      </c>
      <c r="J482" s="57">
        <v>3.66</v>
      </c>
      <c r="K482" s="57">
        <v>1.4375</v>
      </c>
      <c r="L482" s="70">
        <v>44678</v>
      </c>
    </row>
    <row r="483" spans="1:12" x14ac:dyDescent="0.2">
      <c r="A483" s="57" t="s">
        <v>159</v>
      </c>
      <c r="B483" s="57">
        <v>2005</v>
      </c>
      <c r="C483" s="57">
        <v>2</v>
      </c>
      <c r="D483" s="57">
        <v>0</v>
      </c>
      <c r="F483" s="57">
        <v>1.1186</v>
      </c>
      <c r="G483" s="57">
        <v>0.51900000000000002</v>
      </c>
      <c r="H483" s="57">
        <v>0.1401</v>
      </c>
      <c r="I483" s="57">
        <v>6.4600000000000005E-2</v>
      </c>
      <c r="J483" s="57">
        <v>1.716</v>
      </c>
      <c r="K483" s="57">
        <v>1.27</v>
      </c>
      <c r="L483" s="70">
        <v>44678</v>
      </c>
    </row>
    <row r="484" spans="1:12" x14ac:dyDescent="0.2">
      <c r="A484" s="57" t="s">
        <v>59</v>
      </c>
      <c r="B484" s="57">
        <v>2030</v>
      </c>
      <c r="C484" s="57">
        <v>2</v>
      </c>
      <c r="D484" s="57">
        <v>1</v>
      </c>
      <c r="F484" s="57">
        <v>0.90810000000000002</v>
      </c>
      <c r="G484" s="57">
        <v>0.52480000000000004</v>
      </c>
      <c r="H484" s="57">
        <v>0.1651</v>
      </c>
      <c r="I484" s="57">
        <v>9.8100000000000007E-2</v>
      </c>
      <c r="J484" s="57">
        <v>2.5459999999999998</v>
      </c>
      <c r="K484" s="57">
        <v>1.6625000000000001</v>
      </c>
      <c r="L484" s="70">
        <v>44678</v>
      </c>
    </row>
    <row r="485" spans="1:12" x14ac:dyDescent="0.2">
      <c r="A485" s="57" t="s">
        <v>159</v>
      </c>
      <c r="B485" s="57">
        <v>2012</v>
      </c>
      <c r="C485" s="57">
        <v>3</v>
      </c>
      <c r="D485" s="57">
        <v>0</v>
      </c>
      <c r="F485" s="57">
        <v>0.39989999999999998</v>
      </c>
      <c r="G485" s="57">
        <v>0.1996</v>
      </c>
      <c r="H485" s="57">
        <v>2.3300000000000001E-2</v>
      </c>
      <c r="I485" s="57">
        <v>1.14E-2</v>
      </c>
      <c r="J485" s="57">
        <v>0.79200000000000004</v>
      </c>
      <c r="K485" s="57">
        <v>0.755</v>
      </c>
      <c r="L485" s="70">
        <v>44678</v>
      </c>
    </row>
    <row r="486" spans="1:12" x14ac:dyDescent="0.2">
      <c r="A486" s="57" t="s">
        <v>159</v>
      </c>
      <c r="B486" s="57">
        <v>2031</v>
      </c>
      <c r="C486" s="57">
        <v>2</v>
      </c>
      <c r="D486" s="57">
        <v>0</v>
      </c>
      <c r="F486" s="57">
        <v>0.90500000000000003</v>
      </c>
      <c r="G486" s="57">
        <v>0.46489999999999998</v>
      </c>
      <c r="H486" s="57">
        <v>8.6199999999999999E-2</v>
      </c>
      <c r="I486" s="57">
        <v>4.6800000000000001E-2</v>
      </c>
      <c r="J486" s="57">
        <v>1.764</v>
      </c>
      <c r="K486" s="57">
        <v>1.37</v>
      </c>
      <c r="L486" s="70">
        <v>44678</v>
      </c>
    </row>
    <row r="487" spans="1:12" x14ac:dyDescent="0.2">
      <c r="A487" s="57" t="s">
        <v>159</v>
      </c>
      <c r="B487" s="57">
        <v>2024</v>
      </c>
      <c r="C487" s="57">
        <v>3</v>
      </c>
      <c r="D487" s="57">
        <v>0</v>
      </c>
      <c r="F487" s="57">
        <v>1.0194000000000001</v>
      </c>
      <c r="G487" s="57">
        <v>0.52780000000000005</v>
      </c>
      <c r="H487" s="57">
        <v>0.18049999999999999</v>
      </c>
      <c r="I487" s="57">
        <v>9.2499999999999999E-2</v>
      </c>
      <c r="J487" s="57">
        <v>2.5289999999999999</v>
      </c>
      <c r="K487" s="57">
        <v>1.8049999999999999</v>
      </c>
      <c r="L487" s="70">
        <v>44678</v>
      </c>
    </row>
    <row r="488" spans="1:12" x14ac:dyDescent="0.2">
      <c r="A488" s="57" t="s">
        <v>59</v>
      </c>
      <c r="B488" s="57">
        <v>2029</v>
      </c>
      <c r="C488" s="57">
        <v>2</v>
      </c>
      <c r="D488" s="57">
        <v>0</v>
      </c>
      <c r="F488" s="57">
        <v>1.7891999999999999</v>
      </c>
      <c r="G488" s="57">
        <v>1.0125</v>
      </c>
      <c r="H488" s="57">
        <v>3.6900000000000002E-2</v>
      </c>
      <c r="I488" s="57">
        <v>2.07E-2</v>
      </c>
      <c r="J488" s="57">
        <v>1.5780000000000001</v>
      </c>
      <c r="K488" s="57">
        <v>1.0825</v>
      </c>
      <c r="L488" s="70">
        <v>44678</v>
      </c>
    </row>
    <row r="489" spans="1:12" x14ac:dyDescent="0.2">
      <c r="A489" s="57" t="s">
        <v>159</v>
      </c>
      <c r="B489" s="57">
        <v>2025</v>
      </c>
      <c r="C489" s="57">
        <v>1</v>
      </c>
      <c r="D489" s="57">
        <v>0</v>
      </c>
      <c r="F489" s="57">
        <v>0.77200000000000002</v>
      </c>
      <c r="G489" s="57">
        <v>0.39150000000000001</v>
      </c>
      <c r="H489" s="57">
        <v>7.3400000000000007E-2</v>
      </c>
      <c r="I489" s="57">
        <v>3.9300000000000002E-2</v>
      </c>
      <c r="J489" s="57">
        <v>1.85</v>
      </c>
      <c r="K489" s="57">
        <v>1.27</v>
      </c>
      <c r="L489" s="70">
        <v>44678</v>
      </c>
    </row>
    <row r="490" spans="1:12" x14ac:dyDescent="0.2">
      <c r="A490" s="57" t="s">
        <v>159</v>
      </c>
      <c r="B490" s="57">
        <v>2021</v>
      </c>
      <c r="C490" s="57">
        <v>1</v>
      </c>
      <c r="D490" s="57">
        <v>0</v>
      </c>
      <c r="F490" s="57">
        <v>0.69610000000000005</v>
      </c>
      <c r="G490" s="57">
        <v>0.35749999999999998</v>
      </c>
      <c r="H490" s="57">
        <v>0.08</v>
      </c>
      <c r="I490" s="57">
        <v>4.1000000000000002E-2</v>
      </c>
      <c r="J490" s="57">
        <v>1.48</v>
      </c>
      <c r="K490" s="57">
        <v>1.0175000000000001</v>
      </c>
      <c r="L490" s="70">
        <v>44678</v>
      </c>
    </row>
    <row r="491" spans="1:12" x14ac:dyDescent="0.2">
      <c r="A491" s="57" t="s">
        <v>159</v>
      </c>
      <c r="B491" s="57">
        <v>2004</v>
      </c>
      <c r="C491" s="57">
        <v>1</v>
      </c>
      <c r="D491" s="57">
        <v>0</v>
      </c>
      <c r="F491" s="57">
        <v>0.99370000000000003</v>
      </c>
      <c r="G491" s="57">
        <v>0.5222</v>
      </c>
      <c r="H491" s="57">
        <v>0.154</v>
      </c>
      <c r="I491" s="57">
        <v>7.5499999999999998E-2</v>
      </c>
      <c r="J491" s="57">
        <v>2.8580000000000001</v>
      </c>
      <c r="K491" s="57">
        <v>1.4524999999999999</v>
      </c>
      <c r="L491" s="70">
        <v>44678</v>
      </c>
    </row>
    <row r="492" spans="1:12" x14ac:dyDescent="0.2">
      <c r="A492" s="57" t="s">
        <v>59</v>
      </c>
      <c r="B492" s="57">
        <v>2089</v>
      </c>
      <c r="C492" s="57">
        <v>1</v>
      </c>
      <c r="D492" s="57">
        <v>1</v>
      </c>
      <c r="F492" s="57">
        <v>0.98499999999999999</v>
      </c>
      <c r="G492" s="57">
        <v>0.56100000000000005</v>
      </c>
      <c r="H492" s="57">
        <v>0.25530000000000003</v>
      </c>
      <c r="I492" s="57">
        <v>0.1181</v>
      </c>
      <c r="J492" s="57">
        <v>5.9669999999999996</v>
      </c>
      <c r="K492" s="57">
        <v>1.3674999999999999</v>
      </c>
      <c r="L492" s="70">
        <v>44678</v>
      </c>
    </row>
    <row r="493" spans="1:12" x14ac:dyDescent="0.2">
      <c r="A493" s="57" t="s">
        <v>59</v>
      </c>
      <c r="B493" s="57">
        <v>2029</v>
      </c>
      <c r="C493" s="57">
        <v>1</v>
      </c>
      <c r="D493" s="57">
        <v>1</v>
      </c>
      <c r="F493" s="57">
        <v>0.6694</v>
      </c>
      <c r="G493" s="57">
        <v>0.40889999999999999</v>
      </c>
      <c r="H493" s="57">
        <v>0.1449</v>
      </c>
      <c r="I493" s="57">
        <v>8.5500000000000007E-2</v>
      </c>
      <c r="J493" s="57">
        <v>4.5650000000000004</v>
      </c>
      <c r="K493" s="57">
        <v>1.4675</v>
      </c>
      <c r="L493" s="70">
        <v>44678</v>
      </c>
    </row>
    <row r="494" spans="1:12" x14ac:dyDescent="0.2">
      <c r="A494" s="57" t="s">
        <v>59</v>
      </c>
      <c r="B494" s="57">
        <v>2023</v>
      </c>
      <c r="C494" s="57">
        <v>2</v>
      </c>
      <c r="D494" s="57">
        <v>1</v>
      </c>
      <c r="F494" s="57">
        <v>0.628</v>
      </c>
      <c r="G494" s="57">
        <v>0.37819999999999998</v>
      </c>
      <c r="H494" s="57">
        <v>0.18360000000000001</v>
      </c>
      <c r="I494" s="57">
        <v>0.10929999999999999</v>
      </c>
      <c r="J494" s="57">
        <v>3.3370000000000002</v>
      </c>
      <c r="K494" s="57">
        <v>2.2400000000000002</v>
      </c>
      <c r="L494" s="70">
        <v>44678</v>
      </c>
    </row>
    <row r="495" spans="1:12" x14ac:dyDescent="0.2">
      <c r="A495" s="57" t="s">
        <v>159</v>
      </c>
      <c r="B495" s="57">
        <v>2090</v>
      </c>
      <c r="C495" s="57">
        <v>1</v>
      </c>
      <c r="D495" s="57">
        <v>0</v>
      </c>
      <c r="F495" s="57">
        <v>0.7389</v>
      </c>
      <c r="G495" s="57">
        <v>0.35299999999999998</v>
      </c>
      <c r="H495" s="57">
        <v>4.9399999999999999E-2</v>
      </c>
      <c r="I495" s="57">
        <v>2.3400000000000001E-2</v>
      </c>
      <c r="J495" s="57">
        <v>1.04</v>
      </c>
      <c r="K495" s="57">
        <v>1.33</v>
      </c>
      <c r="L495" s="70">
        <v>44678</v>
      </c>
    </row>
    <row r="496" spans="1:12" x14ac:dyDescent="0.2">
      <c r="A496" s="57" t="s">
        <v>159</v>
      </c>
      <c r="B496" s="57">
        <v>2031</v>
      </c>
      <c r="C496" s="57">
        <v>1</v>
      </c>
      <c r="D496" s="57">
        <v>0</v>
      </c>
      <c r="F496" s="57">
        <v>0.70369999999999999</v>
      </c>
      <c r="G496" s="57">
        <v>0.36520000000000002</v>
      </c>
      <c r="H496" s="57">
        <v>7.0900000000000005E-2</v>
      </c>
      <c r="I496" s="57">
        <v>3.8199999999999998E-2</v>
      </c>
      <c r="J496" s="57">
        <v>1.6639999999999999</v>
      </c>
      <c r="K496" s="57">
        <v>1.3325</v>
      </c>
      <c r="L496" s="70">
        <v>44678</v>
      </c>
    </row>
    <row r="497" spans="1:12" x14ac:dyDescent="0.2">
      <c r="A497" s="57" t="s">
        <v>159</v>
      </c>
      <c r="B497" s="57">
        <v>1478</v>
      </c>
      <c r="C497" s="57">
        <v>1</v>
      </c>
      <c r="D497" s="57">
        <v>0</v>
      </c>
      <c r="F497" s="57">
        <v>0.94879999999999998</v>
      </c>
      <c r="G497" s="57">
        <v>0.46189999999999998</v>
      </c>
      <c r="H497" s="57">
        <v>0.23910000000000001</v>
      </c>
      <c r="I497" s="57">
        <v>0.1056</v>
      </c>
      <c r="J497" s="57">
        <v>4.077</v>
      </c>
      <c r="K497" s="57">
        <v>1.7675000000000001</v>
      </c>
      <c r="L497" s="70">
        <v>44678</v>
      </c>
    </row>
    <row r="498" spans="1:12" x14ac:dyDescent="0.2">
      <c r="A498" s="57" t="s">
        <v>59</v>
      </c>
      <c r="B498" s="57">
        <v>2030</v>
      </c>
      <c r="C498" s="57">
        <v>1</v>
      </c>
      <c r="D498" s="57">
        <v>0</v>
      </c>
      <c r="F498" s="57">
        <v>0.99270000000000003</v>
      </c>
      <c r="G498" s="57">
        <v>0.53380000000000005</v>
      </c>
      <c r="H498" s="57">
        <v>3.49E-2</v>
      </c>
      <c r="I498" s="57">
        <v>1.9E-2</v>
      </c>
      <c r="J498" s="57">
        <v>0.92100000000000004</v>
      </c>
      <c r="K498" s="57">
        <v>1.2250000000000001</v>
      </c>
      <c r="L498" s="70">
        <v>44678</v>
      </c>
    </row>
    <row r="499" spans="1:12" x14ac:dyDescent="0.2">
      <c r="A499" s="57" t="s">
        <v>159</v>
      </c>
      <c r="B499" s="57">
        <v>2015</v>
      </c>
      <c r="C499" s="57">
        <v>1</v>
      </c>
      <c r="D499" s="57">
        <v>0</v>
      </c>
      <c r="F499" s="57">
        <v>0.62760000000000005</v>
      </c>
      <c r="G499" s="57">
        <v>0.31269999999999998</v>
      </c>
      <c r="H499" s="57">
        <v>6.88E-2</v>
      </c>
      <c r="I499" s="57">
        <v>3.3700000000000001E-2</v>
      </c>
      <c r="J499" s="57">
        <v>2.0289999999999999</v>
      </c>
      <c r="K499" s="57">
        <v>1.03</v>
      </c>
      <c r="L499" s="70">
        <v>44678</v>
      </c>
    </row>
    <row r="500" spans="1:12" x14ac:dyDescent="0.2">
      <c r="A500" s="57" t="s">
        <v>59</v>
      </c>
      <c r="B500" s="57">
        <v>2023</v>
      </c>
      <c r="C500" s="57">
        <v>1</v>
      </c>
      <c r="D500" s="57">
        <v>1</v>
      </c>
      <c r="F500" s="57">
        <v>1.589</v>
      </c>
      <c r="G500" s="57">
        <v>0.95009999999999994</v>
      </c>
      <c r="H500" s="57">
        <v>0.2286</v>
      </c>
      <c r="I500" s="57">
        <v>0.13450000000000001</v>
      </c>
      <c r="J500" s="57">
        <v>3.4020000000000001</v>
      </c>
      <c r="K500" s="57">
        <v>1.9624999999999999</v>
      </c>
      <c r="L500" s="70">
        <v>44678</v>
      </c>
    </row>
    <row r="501" spans="1:12" x14ac:dyDescent="0.2">
      <c r="A501" s="57" t="s">
        <v>59</v>
      </c>
      <c r="B501" s="57">
        <v>2092</v>
      </c>
      <c r="C501" s="57">
        <v>1</v>
      </c>
      <c r="D501" s="57">
        <v>0</v>
      </c>
      <c r="F501" s="57">
        <v>0.23130000000000001</v>
      </c>
      <c r="G501" s="57">
        <v>0.1077</v>
      </c>
      <c r="H501" s="57">
        <v>2.58E-2</v>
      </c>
      <c r="I501" s="57">
        <v>1.2E-2</v>
      </c>
      <c r="J501" s="57">
        <v>1.484</v>
      </c>
      <c r="K501" s="57">
        <v>0.76500000000000001</v>
      </c>
      <c r="L501" s="70">
        <v>44678</v>
      </c>
    </row>
    <row r="502" spans="1:12" x14ac:dyDescent="0.2">
      <c r="A502" s="57" t="s">
        <v>159</v>
      </c>
      <c r="B502" s="57">
        <v>2015</v>
      </c>
      <c r="C502" s="57">
        <v>2</v>
      </c>
      <c r="D502" s="57">
        <v>0</v>
      </c>
      <c r="F502" s="57">
        <v>0.4924</v>
      </c>
      <c r="G502" s="57">
        <v>0.24759999999999999</v>
      </c>
      <c r="H502" s="57">
        <v>7.7899999999999997E-2</v>
      </c>
      <c r="I502" s="57">
        <v>3.9899999999999998E-2</v>
      </c>
      <c r="J502" s="57">
        <v>1.415</v>
      </c>
      <c r="K502" s="57">
        <v>1.0774999999999999</v>
      </c>
      <c r="L502" s="70">
        <v>44678</v>
      </c>
    </row>
    <row r="503" spans="1:12" x14ac:dyDescent="0.2">
      <c r="A503" s="57" t="s">
        <v>159</v>
      </c>
      <c r="B503" s="57">
        <v>2354</v>
      </c>
      <c r="C503" s="57">
        <v>2</v>
      </c>
      <c r="D503" s="57">
        <v>0</v>
      </c>
      <c r="F503" s="57">
        <v>1.2982</v>
      </c>
      <c r="G503" s="57">
        <v>0.62139999999999995</v>
      </c>
      <c r="H503" s="57">
        <v>0.30680000000000002</v>
      </c>
      <c r="I503" s="57">
        <v>0.1356</v>
      </c>
      <c r="J503" s="57">
        <v>6.7850000000000001</v>
      </c>
      <c r="K503" s="57">
        <v>1.3374999999999999</v>
      </c>
      <c r="L503" s="70">
        <v>44678</v>
      </c>
    </row>
    <row r="504" spans="1:12" x14ac:dyDescent="0.2">
      <c r="A504" s="57" t="s">
        <v>159</v>
      </c>
      <c r="B504" s="57">
        <v>2028</v>
      </c>
      <c r="C504" s="57">
        <v>3</v>
      </c>
      <c r="D504" s="57">
        <v>0</v>
      </c>
      <c r="F504" s="57">
        <v>1.4923</v>
      </c>
      <c r="G504" s="57">
        <v>0.77549999999999997</v>
      </c>
      <c r="H504" s="57">
        <v>0.1133</v>
      </c>
      <c r="I504" s="57">
        <v>5.8299999999999998E-2</v>
      </c>
      <c r="J504" s="57">
        <v>1.819</v>
      </c>
      <c r="K504" s="57">
        <v>1.76</v>
      </c>
      <c r="L504" s="70">
        <v>44678</v>
      </c>
    </row>
    <row r="505" spans="1:12" x14ac:dyDescent="0.2">
      <c r="A505" s="57" t="s">
        <v>159</v>
      </c>
      <c r="B505" s="57">
        <v>2087</v>
      </c>
      <c r="C505" s="57">
        <v>2</v>
      </c>
      <c r="D505" s="57">
        <v>0</v>
      </c>
      <c r="F505" s="57">
        <v>1.0339</v>
      </c>
      <c r="G505" s="57">
        <v>0.48230000000000001</v>
      </c>
      <c r="H505" s="57">
        <v>0.28910000000000002</v>
      </c>
      <c r="I505" s="57">
        <v>0.1298</v>
      </c>
      <c r="J505" s="57">
        <v>2.3690000000000002</v>
      </c>
      <c r="K505" s="57">
        <v>1.3975</v>
      </c>
      <c r="L505" s="70">
        <v>44678</v>
      </c>
    </row>
    <row r="506" spans="1:12" x14ac:dyDescent="0.2">
      <c r="A506" s="57" t="s">
        <v>159</v>
      </c>
      <c r="B506" s="57">
        <v>2086</v>
      </c>
      <c r="C506" s="57">
        <v>3</v>
      </c>
      <c r="D506" s="57">
        <v>0</v>
      </c>
      <c r="F506" s="57">
        <v>2.1960000000000002</v>
      </c>
      <c r="G506" s="57">
        <v>1.0495000000000001</v>
      </c>
      <c r="H506" s="57">
        <v>0.3906</v>
      </c>
      <c r="I506" s="57">
        <v>0.1825</v>
      </c>
      <c r="J506" s="57">
        <v>4.3899999999999997</v>
      </c>
      <c r="K506" s="57">
        <v>1.875</v>
      </c>
      <c r="L506" s="70">
        <v>44678</v>
      </c>
    </row>
    <row r="507" spans="1:12" x14ac:dyDescent="0.2">
      <c r="A507" s="57" t="s">
        <v>159</v>
      </c>
      <c r="B507" s="57">
        <v>2012</v>
      </c>
      <c r="C507" s="57">
        <v>1</v>
      </c>
      <c r="D507" s="57">
        <v>0</v>
      </c>
      <c r="F507" s="57">
        <v>0.4637</v>
      </c>
      <c r="G507" s="57">
        <v>0.28050000000000003</v>
      </c>
      <c r="H507" s="57">
        <v>0.10059999999999999</v>
      </c>
      <c r="I507" s="57">
        <v>4.8300000000000003E-2</v>
      </c>
      <c r="J507" s="57">
        <v>3.1469999999999998</v>
      </c>
      <c r="K507" s="57">
        <v>1.0525</v>
      </c>
      <c r="L507" s="70">
        <v>44678</v>
      </c>
    </row>
    <row r="508" spans="1:12" x14ac:dyDescent="0.2">
      <c r="A508" s="57" t="s">
        <v>59</v>
      </c>
      <c r="B508" s="57">
        <v>2029</v>
      </c>
      <c r="C508" s="57">
        <v>1</v>
      </c>
      <c r="D508" s="57">
        <v>0</v>
      </c>
      <c r="F508" s="57">
        <v>1.875</v>
      </c>
      <c r="G508" s="57">
        <v>1.0250999999999999</v>
      </c>
      <c r="H508" s="57">
        <v>9.1499999999999998E-2</v>
      </c>
      <c r="I508" s="57">
        <v>4.8500000000000001E-2</v>
      </c>
      <c r="J508" s="57">
        <v>3.0539999999999998</v>
      </c>
      <c r="K508" s="57">
        <v>1.1499999999999999</v>
      </c>
      <c r="L508" s="70">
        <v>44678</v>
      </c>
    </row>
    <row r="509" spans="1:12" x14ac:dyDescent="0.2">
      <c r="A509" s="57" t="s">
        <v>159</v>
      </c>
      <c r="B509" s="57">
        <v>2085</v>
      </c>
      <c r="C509" s="57">
        <v>1</v>
      </c>
      <c r="D509" s="57">
        <v>0</v>
      </c>
      <c r="F509" s="57">
        <v>0.80969999999999998</v>
      </c>
      <c r="G509" s="57">
        <v>0.38629999999999998</v>
      </c>
      <c r="H509" s="57">
        <v>0.19620000000000001</v>
      </c>
      <c r="I509" s="57">
        <v>9.2200000000000004E-2</v>
      </c>
      <c r="J509" s="57">
        <v>2.4580000000000002</v>
      </c>
      <c r="K509" s="57">
        <v>1.2675000000000001</v>
      </c>
      <c r="L509" s="70">
        <v>44678</v>
      </c>
    </row>
    <row r="510" spans="1:12" x14ac:dyDescent="0.2">
      <c r="A510" s="57" t="s">
        <v>59</v>
      </c>
      <c r="B510" s="57">
        <v>2089</v>
      </c>
      <c r="C510" s="57">
        <v>2</v>
      </c>
      <c r="D510" s="57">
        <v>0</v>
      </c>
      <c r="F510" s="57">
        <v>0.36030000000000001</v>
      </c>
      <c r="G510" s="57">
        <v>8.2900000000000001E-2</v>
      </c>
      <c r="H510" s="57">
        <v>5.9200000000000003E-2</v>
      </c>
      <c r="I510" s="57">
        <v>1.7100000000000001E-2</v>
      </c>
      <c r="J510" s="57">
        <v>2.9529999999999998</v>
      </c>
      <c r="K510" s="57">
        <v>0.78500000000000003</v>
      </c>
      <c r="L510" s="70">
        <v>44678</v>
      </c>
    </row>
    <row r="511" spans="1:12" x14ac:dyDescent="0.2">
      <c r="A511" s="57" t="s">
        <v>159</v>
      </c>
      <c r="B511" s="57">
        <v>2021</v>
      </c>
      <c r="C511" s="57">
        <v>3</v>
      </c>
      <c r="D511" s="57">
        <v>0</v>
      </c>
      <c r="F511" s="57">
        <v>0.56989999999999996</v>
      </c>
      <c r="G511" s="57">
        <v>0.2868</v>
      </c>
      <c r="H511" s="57">
        <v>3.7999999999999999E-2</v>
      </c>
      <c r="I511" s="57">
        <v>1.9699999999999999E-2</v>
      </c>
      <c r="J511" s="57">
        <v>0.92600000000000005</v>
      </c>
      <c r="K511" s="57">
        <v>0.9425</v>
      </c>
      <c r="L511" s="70">
        <v>44678</v>
      </c>
    </row>
    <row r="512" spans="1:12" x14ac:dyDescent="0.2">
      <c r="A512" s="57" t="s">
        <v>59</v>
      </c>
      <c r="B512" s="57">
        <v>2091</v>
      </c>
      <c r="C512" s="57">
        <v>2</v>
      </c>
      <c r="D512" s="57">
        <v>0</v>
      </c>
      <c r="F512" s="57">
        <v>1.3865000000000001</v>
      </c>
      <c r="G512" s="57">
        <v>0.55149999999999999</v>
      </c>
      <c r="H512" s="57">
        <v>0.1318</v>
      </c>
      <c r="I512" s="57">
        <v>5.5399999999999998E-2</v>
      </c>
      <c r="J512" s="57">
        <v>3.8050000000000002</v>
      </c>
      <c r="K512" s="57">
        <v>1.2475000000000001</v>
      </c>
      <c r="L512" s="70">
        <v>44678</v>
      </c>
    </row>
    <row r="513" spans="1:12" x14ac:dyDescent="0.2">
      <c r="A513" s="57" t="s">
        <v>159</v>
      </c>
      <c r="B513" s="57">
        <v>2026</v>
      </c>
      <c r="C513" s="57">
        <v>3</v>
      </c>
      <c r="D513" s="57">
        <v>0</v>
      </c>
      <c r="F513" s="57">
        <v>0.58169999999999999</v>
      </c>
      <c r="G513" s="57">
        <v>0.29720000000000002</v>
      </c>
      <c r="H513" s="57">
        <v>0.1167</v>
      </c>
      <c r="I513" s="57">
        <v>5.9900000000000002E-2</v>
      </c>
      <c r="J513" s="57">
        <v>1.8480000000000001</v>
      </c>
      <c r="K513" s="57">
        <v>1.0900000000000001</v>
      </c>
      <c r="L513" s="70">
        <v>44678</v>
      </c>
    </row>
    <row r="514" spans="1:12" x14ac:dyDescent="0.2">
      <c r="A514" s="57" t="s">
        <v>159</v>
      </c>
      <c r="B514" s="57">
        <v>2020</v>
      </c>
      <c r="C514" s="57">
        <v>1</v>
      </c>
      <c r="D514" s="57">
        <v>0</v>
      </c>
      <c r="F514" s="57">
        <v>1.0931999999999999</v>
      </c>
      <c r="G514" s="57">
        <v>0.55910000000000004</v>
      </c>
      <c r="H514" s="57">
        <v>0.1108</v>
      </c>
      <c r="I514" s="57">
        <v>5.6800000000000003E-2</v>
      </c>
      <c r="J514" s="57">
        <v>2.6280000000000001</v>
      </c>
      <c r="K514" s="57">
        <v>1.2675000000000001</v>
      </c>
      <c r="L514" s="70">
        <v>44678</v>
      </c>
    </row>
    <row r="515" spans="1:12" x14ac:dyDescent="0.2">
      <c r="A515" s="57" t="s">
        <v>59</v>
      </c>
      <c r="B515" s="57">
        <v>2091</v>
      </c>
      <c r="C515" s="57">
        <v>1</v>
      </c>
      <c r="D515" s="57">
        <v>0</v>
      </c>
      <c r="F515" s="57">
        <v>1.3416999999999999</v>
      </c>
      <c r="G515" s="57">
        <v>0.57879999999999998</v>
      </c>
      <c r="H515" s="57">
        <v>8.4000000000000005E-2</v>
      </c>
      <c r="I515" s="57">
        <v>3.4599999999999999E-2</v>
      </c>
      <c r="J515" s="57">
        <v>2.42</v>
      </c>
      <c r="K515" s="57">
        <v>1.0874999999999999</v>
      </c>
      <c r="L515" s="70">
        <v>44678</v>
      </c>
    </row>
    <row r="516" spans="1:12" x14ac:dyDescent="0.2">
      <c r="A516" s="57" t="s">
        <v>59</v>
      </c>
      <c r="B516" s="57">
        <v>2023</v>
      </c>
      <c r="C516" s="57">
        <v>3</v>
      </c>
      <c r="D516" s="57">
        <v>1</v>
      </c>
      <c r="F516" s="57">
        <v>0.8075</v>
      </c>
      <c r="G516" s="57">
        <v>0.50009999999999999</v>
      </c>
      <c r="H516" s="57">
        <v>0.159</v>
      </c>
      <c r="I516" s="57">
        <v>9.6600000000000005E-2</v>
      </c>
      <c r="J516" s="57">
        <v>4.056</v>
      </c>
      <c r="K516" s="57">
        <v>1.4</v>
      </c>
      <c r="L516" s="70">
        <v>44678</v>
      </c>
    </row>
    <row r="517" spans="1:12" x14ac:dyDescent="0.2">
      <c r="A517" s="57" t="s">
        <v>59</v>
      </c>
      <c r="B517" s="57">
        <v>2022</v>
      </c>
      <c r="C517" s="57">
        <v>2</v>
      </c>
      <c r="D517" s="57">
        <v>2</v>
      </c>
      <c r="F517" s="57">
        <v>0.45660000000000001</v>
      </c>
      <c r="G517" s="57">
        <v>0.29820000000000002</v>
      </c>
      <c r="H517" s="57">
        <v>0.19600000000000001</v>
      </c>
      <c r="I517" s="57">
        <v>0.122</v>
      </c>
      <c r="J517" s="57">
        <v>3.879</v>
      </c>
      <c r="K517" s="57">
        <v>1.3075000000000001</v>
      </c>
      <c r="L517" s="70">
        <v>44678</v>
      </c>
    </row>
    <row r="518" spans="1:12" x14ac:dyDescent="0.2">
      <c r="A518" s="57" t="s">
        <v>59</v>
      </c>
      <c r="B518" s="57">
        <v>2030</v>
      </c>
      <c r="C518" s="57">
        <v>3</v>
      </c>
      <c r="D518" s="57">
        <v>1</v>
      </c>
      <c r="F518" s="57">
        <v>0.86060000000000003</v>
      </c>
      <c r="G518" s="57">
        <v>0.53500000000000003</v>
      </c>
      <c r="H518" s="57">
        <v>0.23960000000000001</v>
      </c>
      <c r="I518" s="57">
        <v>0.1169</v>
      </c>
      <c r="J518" s="57">
        <v>3.8290000000000002</v>
      </c>
      <c r="K518" s="57">
        <v>1.6775</v>
      </c>
      <c r="L518" s="70">
        <v>44678</v>
      </c>
    </row>
    <row r="519" spans="1:12" x14ac:dyDescent="0.2">
      <c r="A519" s="57" t="s">
        <v>59</v>
      </c>
      <c r="B519" s="57">
        <v>2023</v>
      </c>
      <c r="C519" s="57">
        <v>1</v>
      </c>
      <c r="D519" s="57">
        <v>0</v>
      </c>
      <c r="F519" s="57">
        <v>2.6297000000000001</v>
      </c>
      <c r="G519" s="57">
        <v>1.46</v>
      </c>
      <c r="H519" s="57">
        <v>0.26469999999999999</v>
      </c>
      <c r="I519" s="57">
        <v>0.1454</v>
      </c>
      <c r="J519" s="57">
        <v>5.35</v>
      </c>
      <c r="K519" s="57">
        <v>1.8</v>
      </c>
      <c r="L519" s="70">
        <v>44678</v>
      </c>
    </row>
    <row r="520" spans="1:12" x14ac:dyDescent="0.2">
      <c r="A520" s="57" t="s">
        <v>159</v>
      </c>
      <c r="B520" s="57">
        <v>2027</v>
      </c>
      <c r="C520" s="57">
        <v>3</v>
      </c>
      <c r="D520" s="57">
        <v>0</v>
      </c>
      <c r="F520" s="57">
        <v>0.2495</v>
      </c>
      <c r="G520" s="57">
        <v>0.1333</v>
      </c>
      <c r="H520" s="57">
        <v>1.3899999999999999E-2</v>
      </c>
      <c r="I520" s="57">
        <v>7.4999999999999997E-3</v>
      </c>
      <c r="J520" s="57">
        <v>0.58299999999999996</v>
      </c>
      <c r="K520" s="57">
        <v>0.70750000000000002</v>
      </c>
      <c r="L520" s="70">
        <v>44678</v>
      </c>
    </row>
    <row r="521" spans="1:12" x14ac:dyDescent="0.2">
      <c r="A521" s="57" t="s">
        <v>59</v>
      </c>
      <c r="B521" s="57">
        <v>2091</v>
      </c>
      <c r="C521" s="57">
        <v>1</v>
      </c>
      <c r="D521" s="57">
        <v>1</v>
      </c>
      <c r="F521" s="57">
        <v>0.30480000000000002</v>
      </c>
      <c r="G521" s="57">
        <v>0.18060000000000001</v>
      </c>
      <c r="H521" s="57">
        <v>0.1148</v>
      </c>
      <c r="I521" s="57">
        <v>6.1400000000000003E-2</v>
      </c>
      <c r="J521" s="57">
        <v>2.3719999999999999</v>
      </c>
      <c r="K521" s="57">
        <v>1.5375000000000001</v>
      </c>
      <c r="L521" s="70">
        <v>44678</v>
      </c>
    </row>
    <row r="522" spans="1:12" x14ac:dyDescent="0.2">
      <c r="A522" s="57" t="s">
        <v>159</v>
      </c>
      <c r="B522" s="57">
        <v>2005</v>
      </c>
      <c r="C522" s="57">
        <v>3</v>
      </c>
      <c r="D522" s="57">
        <v>0</v>
      </c>
      <c r="F522" s="57">
        <v>1.8027</v>
      </c>
      <c r="G522" s="57">
        <v>0.87319999999999998</v>
      </c>
      <c r="H522" s="57">
        <v>0.3377</v>
      </c>
      <c r="I522" s="57">
        <v>0.16339999999999999</v>
      </c>
      <c r="J522" s="57">
        <v>4.7539999999999996</v>
      </c>
      <c r="K522" s="57">
        <v>1.7625</v>
      </c>
      <c r="L522" s="70">
        <v>44678</v>
      </c>
    </row>
    <row r="523" spans="1:12" x14ac:dyDescent="0.2">
      <c r="A523" s="57" t="s">
        <v>159</v>
      </c>
      <c r="B523" s="57">
        <v>2025</v>
      </c>
      <c r="C523" s="57">
        <v>2</v>
      </c>
      <c r="D523" s="57">
        <v>0</v>
      </c>
      <c r="F523" s="57">
        <v>0.96830000000000005</v>
      </c>
      <c r="G523" s="57">
        <v>0.49030000000000001</v>
      </c>
      <c r="H523" s="57">
        <v>0.1012</v>
      </c>
      <c r="I523" s="57">
        <v>5.4100000000000002E-2</v>
      </c>
      <c r="J523" s="57">
        <v>2.472</v>
      </c>
      <c r="K523" s="57">
        <v>1.3225</v>
      </c>
      <c r="L523" s="70">
        <v>44678</v>
      </c>
    </row>
    <row r="524" spans="1:12" x14ac:dyDescent="0.2">
      <c r="A524" s="57" t="s">
        <v>159</v>
      </c>
      <c r="B524" s="57">
        <v>2006</v>
      </c>
      <c r="C524" s="57">
        <v>3</v>
      </c>
      <c r="D524" s="57">
        <v>0</v>
      </c>
      <c r="F524" s="57">
        <v>0.43969999999999998</v>
      </c>
      <c r="G524" s="57">
        <v>0.2291</v>
      </c>
      <c r="H524" s="57">
        <v>4.48E-2</v>
      </c>
      <c r="I524" s="57">
        <v>2.4899999999999999E-2</v>
      </c>
      <c r="J524" s="57">
        <v>0.88100000000000001</v>
      </c>
      <c r="K524" s="57">
        <v>1.0575000000000001</v>
      </c>
      <c r="L524" s="70">
        <v>44678</v>
      </c>
    </row>
    <row r="525" spans="1:12" x14ac:dyDescent="0.2">
      <c r="A525" s="57" t="s">
        <v>159</v>
      </c>
      <c r="B525" s="57">
        <v>1478</v>
      </c>
      <c r="C525" s="57">
        <v>2</v>
      </c>
      <c r="D525" s="57">
        <v>0</v>
      </c>
      <c r="F525" s="57">
        <v>0.86439999999999995</v>
      </c>
      <c r="G525" s="57">
        <v>0.41270000000000001</v>
      </c>
      <c r="H525" s="57">
        <v>0.15509999999999999</v>
      </c>
      <c r="I525" s="57">
        <v>6.8500000000000005E-2</v>
      </c>
      <c r="J525" s="57">
        <v>3.0209999999999999</v>
      </c>
      <c r="K525" s="57">
        <v>1.6425000000000001</v>
      </c>
      <c r="L525" s="70">
        <v>44678</v>
      </c>
    </row>
    <row r="526" spans="1:12" x14ac:dyDescent="0.2">
      <c r="A526" s="57" t="s">
        <v>159</v>
      </c>
      <c r="B526" s="57">
        <v>2085</v>
      </c>
      <c r="C526" s="57">
        <v>3</v>
      </c>
      <c r="D526" s="57">
        <v>0</v>
      </c>
      <c r="F526" s="57">
        <v>1.2228000000000001</v>
      </c>
      <c r="G526" s="57">
        <v>0.59</v>
      </c>
      <c r="H526" s="57">
        <v>0.18959999999999999</v>
      </c>
      <c r="I526" s="57">
        <v>9.0399999999999994E-2</v>
      </c>
      <c r="J526" s="57">
        <v>3.2109999999999999</v>
      </c>
      <c r="K526" s="57">
        <v>1.5475000000000001</v>
      </c>
      <c r="L526" s="70">
        <v>44678</v>
      </c>
    </row>
    <row r="527" spans="1:12" x14ac:dyDescent="0.2">
      <c r="A527" s="57" t="s">
        <v>159</v>
      </c>
      <c r="B527" s="57">
        <v>2027</v>
      </c>
      <c r="C527" s="57">
        <v>1</v>
      </c>
      <c r="D527" s="57">
        <v>0</v>
      </c>
      <c r="F527" s="57">
        <v>0.40770000000000001</v>
      </c>
      <c r="G527" s="57">
        <v>0.2185</v>
      </c>
      <c r="H527" s="57">
        <v>1.8499999999999999E-2</v>
      </c>
      <c r="I527" s="57">
        <v>1.12E-2</v>
      </c>
      <c r="J527" s="57">
        <v>0.65300000000000002</v>
      </c>
      <c r="K527" s="57">
        <v>0.8175</v>
      </c>
      <c r="L527" s="70">
        <v>44678</v>
      </c>
    </row>
    <row r="528" spans="1:12" x14ac:dyDescent="0.2">
      <c r="A528" s="57" t="s">
        <v>159</v>
      </c>
      <c r="B528" s="57">
        <v>2027</v>
      </c>
      <c r="C528" s="57">
        <v>2</v>
      </c>
      <c r="D528" s="57">
        <v>0</v>
      </c>
      <c r="F528" s="57">
        <v>0.57950000000000002</v>
      </c>
      <c r="G528" s="57">
        <v>0.3075</v>
      </c>
      <c r="H528" s="57">
        <v>3.5200000000000002E-2</v>
      </c>
      <c r="I528" s="57">
        <v>1.7299999999999999E-2</v>
      </c>
      <c r="J528" s="57">
        <v>0.86099999999999999</v>
      </c>
      <c r="K528" s="57">
        <v>1.1499999999999999</v>
      </c>
      <c r="L528" s="70">
        <v>44678</v>
      </c>
    </row>
    <row r="529" spans="1:12" x14ac:dyDescent="0.2">
      <c r="A529" s="57" t="s">
        <v>59</v>
      </c>
      <c r="B529" s="57">
        <v>2030</v>
      </c>
      <c r="C529" s="57">
        <v>3</v>
      </c>
      <c r="D529" s="57">
        <v>2</v>
      </c>
      <c r="F529" s="57">
        <v>1.0969</v>
      </c>
      <c r="G529" s="57">
        <v>0.67889999999999995</v>
      </c>
      <c r="H529" s="57">
        <v>0.33610000000000001</v>
      </c>
      <c r="I529" s="57">
        <v>0.2084</v>
      </c>
      <c r="J529" s="57">
        <v>4.5259999999999998</v>
      </c>
      <c r="K529" s="57">
        <v>2.1225000000000001</v>
      </c>
      <c r="L529" s="70">
        <v>44678</v>
      </c>
    </row>
    <row r="530" spans="1:12" x14ac:dyDescent="0.2">
      <c r="A530" s="57" t="s">
        <v>159</v>
      </c>
      <c r="B530" s="57">
        <v>2085</v>
      </c>
      <c r="C530" s="57">
        <v>2</v>
      </c>
      <c r="D530" s="57">
        <v>0</v>
      </c>
      <c r="F530" s="57">
        <v>0.53590000000000004</v>
      </c>
      <c r="G530" s="57">
        <v>0.26369999999999999</v>
      </c>
      <c r="H530" s="57">
        <v>3.2599999999999997E-2</v>
      </c>
      <c r="I530" s="57">
        <v>1.5599999999999999E-2</v>
      </c>
      <c r="J530" s="57">
        <v>0.749</v>
      </c>
      <c r="K530" s="57">
        <v>0.87749999999999995</v>
      </c>
      <c r="L530" s="70">
        <v>44678</v>
      </c>
    </row>
    <row r="531" spans="1:12" x14ac:dyDescent="0.2">
      <c r="A531" s="57" t="s">
        <v>59</v>
      </c>
      <c r="B531" s="57">
        <v>2091</v>
      </c>
      <c r="C531" s="57">
        <v>3</v>
      </c>
      <c r="D531" s="57">
        <v>1</v>
      </c>
      <c r="F531" s="57">
        <v>0.59930000000000005</v>
      </c>
      <c r="G531" s="57">
        <v>0.3538</v>
      </c>
      <c r="H531" s="57">
        <v>0.33489999999999998</v>
      </c>
      <c r="I531" s="57">
        <v>0.18509999999999999</v>
      </c>
      <c r="J531" s="57">
        <v>4.3419999999999996</v>
      </c>
      <c r="K531" s="57">
        <v>1.5</v>
      </c>
      <c r="L531" s="70">
        <v>44678</v>
      </c>
    </row>
    <row r="532" spans="1:12" x14ac:dyDescent="0.2">
      <c r="A532" s="57" t="s">
        <v>159</v>
      </c>
      <c r="B532" s="57">
        <v>2024</v>
      </c>
      <c r="C532" s="57">
        <v>2</v>
      </c>
      <c r="D532" s="57">
        <v>0</v>
      </c>
      <c r="F532" s="57">
        <v>0.48880000000000001</v>
      </c>
      <c r="G532" s="57">
        <v>0.2515</v>
      </c>
      <c r="H532" s="57">
        <v>0.1115</v>
      </c>
      <c r="I532" s="57">
        <v>5.7799999999999997E-2</v>
      </c>
      <c r="J532" s="57">
        <v>1.7769999999999999</v>
      </c>
      <c r="K532" s="57">
        <v>1.4675</v>
      </c>
      <c r="L532" s="70">
        <v>44678</v>
      </c>
    </row>
    <row r="533" spans="1:12" x14ac:dyDescent="0.2">
      <c r="A533" s="57" t="s">
        <v>159</v>
      </c>
      <c r="B533" s="57">
        <v>2026</v>
      </c>
      <c r="C533" s="57">
        <v>1</v>
      </c>
      <c r="D533" s="57">
        <v>0</v>
      </c>
      <c r="F533" s="57">
        <v>0.63260000000000005</v>
      </c>
      <c r="G533" s="57">
        <v>0.32769999999999999</v>
      </c>
      <c r="H533" s="57">
        <v>0.1333</v>
      </c>
      <c r="I533" s="57">
        <v>7.0999999999999994E-2</v>
      </c>
      <c r="J533" s="57">
        <v>2.274</v>
      </c>
      <c r="K533" s="57">
        <v>1.0024999999999999</v>
      </c>
      <c r="L533" s="70">
        <v>44678</v>
      </c>
    </row>
    <row r="534" spans="1:12" x14ac:dyDescent="0.2">
      <c r="A534" s="57" t="s">
        <v>59</v>
      </c>
      <c r="B534" s="57">
        <v>2030</v>
      </c>
      <c r="C534" s="57">
        <v>1</v>
      </c>
      <c r="D534" s="57">
        <v>1</v>
      </c>
      <c r="F534" s="57">
        <v>0.3407</v>
      </c>
      <c r="G534" s="57">
        <v>0.20369999999999999</v>
      </c>
      <c r="H534" s="57">
        <v>9.5500000000000002E-2</v>
      </c>
      <c r="I534" s="57">
        <v>5.3800000000000001E-2</v>
      </c>
      <c r="J534" s="57">
        <v>2.488</v>
      </c>
      <c r="K534" s="57">
        <v>1.78</v>
      </c>
      <c r="L534" s="70">
        <v>44678</v>
      </c>
    </row>
    <row r="535" spans="1:12" x14ac:dyDescent="0.2">
      <c r="A535" s="57" t="s">
        <v>159</v>
      </c>
      <c r="B535" s="57">
        <v>2015</v>
      </c>
      <c r="C535" s="57">
        <v>3</v>
      </c>
      <c r="D535" s="57">
        <v>0</v>
      </c>
      <c r="F535" s="57">
        <v>0.2954</v>
      </c>
      <c r="G535" s="57">
        <v>0.1497</v>
      </c>
      <c r="H535" s="57">
        <v>6.7100000000000007E-2</v>
      </c>
      <c r="I535" s="57">
        <v>3.61E-2</v>
      </c>
      <c r="J535" s="57">
        <v>1.7410000000000001</v>
      </c>
      <c r="K535" s="57">
        <v>0.94</v>
      </c>
      <c r="L535" s="70">
        <v>44678</v>
      </c>
    </row>
    <row r="536" spans="1:12" x14ac:dyDescent="0.2">
      <c r="A536" s="57" t="s">
        <v>159</v>
      </c>
      <c r="B536" s="57">
        <v>2028</v>
      </c>
      <c r="C536" s="57">
        <v>1</v>
      </c>
      <c r="D536" s="57">
        <v>0</v>
      </c>
      <c r="F536" s="57">
        <v>0.435</v>
      </c>
      <c r="G536" s="57">
        <v>0.22800000000000001</v>
      </c>
      <c r="H536" s="57">
        <v>6.0499999999999998E-2</v>
      </c>
      <c r="I536" s="57">
        <v>3.1699999999999999E-2</v>
      </c>
      <c r="J536" s="57">
        <v>1.647</v>
      </c>
      <c r="K536" s="57">
        <v>1.2024999999999999</v>
      </c>
      <c r="L536" s="70">
        <v>44678</v>
      </c>
    </row>
    <row r="537" spans="1:12" x14ac:dyDescent="0.2">
      <c r="A537" s="57" t="s">
        <v>159</v>
      </c>
      <c r="B537" s="57">
        <v>2024</v>
      </c>
      <c r="C537" s="57">
        <v>1</v>
      </c>
      <c r="D537" s="57">
        <v>0</v>
      </c>
      <c r="F537" s="57">
        <v>0.82889999999999997</v>
      </c>
      <c r="G537" s="57">
        <v>0.41799999999999998</v>
      </c>
      <c r="H537" s="57">
        <v>5.6599999999999998E-2</v>
      </c>
      <c r="I537" s="57">
        <v>2.98E-2</v>
      </c>
      <c r="J537" s="57">
        <v>0.92600000000000005</v>
      </c>
      <c r="K537" s="57">
        <v>1.22</v>
      </c>
      <c r="L537" s="70">
        <v>44678</v>
      </c>
    </row>
    <row r="538" spans="1:12" x14ac:dyDescent="0.2">
      <c r="A538" s="57" t="s">
        <v>59</v>
      </c>
      <c r="B538" s="57">
        <v>2092</v>
      </c>
      <c r="C538" s="57">
        <v>1</v>
      </c>
      <c r="D538" s="57">
        <v>1</v>
      </c>
      <c r="F538" s="57">
        <v>0.91390000000000005</v>
      </c>
      <c r="G538" s="57">
        <v>0.56659999999999999</v>
      </c>
      <c r="H538" s="57">
        <v>0.1517</v>
      </c>
      <c r="I538" s="57">
        <v>8.3000000000000004E-2</v>
      </c>
      <c r="J538" s="57">
        <v>2.597</v>
      </c>
      <c r="K538" s="57">
        <v>1.4275</v>
      </c>
      <c r="L538" s="70">
        <v>44678</v>
      </c>
    </row>
    <row r="539" spans="1:12" x14ac:dyDescent="0.2">
      <c r="A539" s="57" t="s">
        <v>59</v>
      </c>
      <c r="B539" s="57">
        <v>2023</v>
      </c>
      <c r="C539" s="57">
        <v>2</v>
      </c>
      <c r="D539" s="57">
        <v>0</v>
      </c>
      <c r="F539" s="57">
        <v>0.90710000000000002</v>
      </c>
      <c r="G539" s="57">
        <v>0.49349999999999999</v>
      </c>
      <c r="H539" s="57">
        <v>9.3600000000000003E-2</v>
      </c>
      <c r="I539" s="57">
        <v>5.1200000000000002E-2</v>
      </c>
      <c r="J539" s="57">
        <v>1.7350000000000001</v>
      </c>
      <c r="K539" s="57">
        <v>1.1399999999999999</v>
      </c>
      <c r="L539" s="70">
        <v>44678</v>
      </c>
    </row>
    <row r="540" spans="1:12" x14ac:dyDescent="0.2">
      <c r="A540" s="57" t="s">
        <v>59</v>
      </c>
      <c r="B540" s="57">
        <v>2089</v>
      </c>
      <c r="C540" s="57">
        <v>3</v>
      </c>
      <c r="D540" s="57">
        <v>1</v>
      </c>
      <c r="F540" s="57">
        <v>1.1415</v>
      </c>
      <c r="G540" s="57">
        <v>0.66090000000000004</v>
      </c>
      <c r="H540" s="57">
        <v>0.19589999999999999</v>
      </c>
      <c r="I540" s="57">
        <v>9.5100000000000004E-2</v>
      </c>
      <c r="J540" s="57">
        <v>4.8159999999999998</v>
      </c>
      <c r="K540" s="57">
        <v>1.4450000000000001</v>
      </c>
      <c r="L540" s="70">
        <v>44678</v>
      </c>
    </row>
    <row r="541" spans="1:12" x14ac:dyDescent="0.2">
      <c r="A541" s="57" t="s">
        <v>159</v>
      </c>
      <c r="B541" s="57">
        <v>2090</v>
      </c>
      <c r="C541" s="57">
        <v>3</v>
      </c>
      <c r="D541" s="57">
        <v>0</v>
      </c>
      <c r="F541" s="57">
        <v>0.57189999999999996</v>
      </c>
      <c r="G541" s="57">
        <v>0.27600000000000002</v>
      </c>
      <c r="H541" s="57">
        <v>5.2699999999999997E-2</v>
      </c>
      <c r="I541" s="57">
        <v>2.4199999999999999E-2</v>
      </c>
      <c r="J541" s="57">
        <v>0.89800000000000002</v>
      </c>
      <c r="K541" s="57">
        <v>1.04</v>
      </c>
      <c r="L541" s="70">
        <v>44678</v>
      </c>
    </row>
    <row r="542" spans="1:12" x14ac:dyDescent="0.2">
      <c r="A542" s="57" t="s">
        <v>159</v>
      </c>
      <c r="B542" s="57">
        <v>2031</v>
      </c>
      <c r="C542" s="57">
        <v>3</v>
      </c>
      <c r="D542" s="57">
        <v>0</v>
      </c>
      <c r="F542" s="57">
        <v>0.51959999999999995</v>
      </c>
      <c r="G542" s="57">
        <v>0.26679999999999998</v>
      </c>
      <c r="H542" s="57">
        <v>3.7600000000000001E-2</v>
      </c>
      <c r="I542" s="57">
        <v>1.9800000000000002E-2</v>
      </c>
      <c r="J542" s="57">
        <v>1.113</v>
      </c>
      <c r="K542" s="57">
        <v>1.1525000000000001</v>
      </c>
      <c r="L542" s="70">
        <v>44678</v>
      </c>
    </row>
    <row r="543" spans="1:12" x14ac:dyDescent="0.2">
      <c r="A543" s="57" t="s">
        <v>59</v>
      </c>
      <c r="B543" s="57">
        <v>2091</v>
      </c>
      <c r="C543" s="57">
        <v>2</v>
      </c>
      <c r="D543" s="57">
        <v>1</v>
      </c>
      <c r="F543" s="57">
        <v>1.9530000000000001</v>
      </c>
      <c r="G543" s="57">
        <v>1.1335999999999999</v>
      </c>
      <c r="H543" s="57">
        <v>0.61119999999999997</v>
      </c>
      <c r="I543" s="57">
        <v>0.31940000000000002</v>
      </c>
      <c r="J543" s="57">
        <v>7.9329999999999998</v>
      </c>
      <c r="K543" s="57">
        <v>2.0449999999999999</v>
      </c>
      <c r="L543" s="70">
        <v>44678</v>
      </c>
    </row>
    <row r="544" spans="1:12" x14ac:dyDescent="0.2">
      <c r="A544" s="57" t="s">
        <v>159</v>
      </c>
      <c r="B544" s="57">
        <v>2354</v>
      </c>
      <c r="C544" s="57">
        <v>3</v>
      </c>
      <c r="D544" s="57">
        <v>0</v>
      </c>
      <c r="F544" s="57">
        <v>1.0403</v>
      </c>
      <c r="G544" s="57">
        <v>0.49349999999999999</v>
      </c>
      <c r="H544" s="57">
        <v>0.11899999999999999</v>
      </c>
      <c r="I544" s="57">
        <v>5.3100000000000001E-2</v>
      </c>
      <c r="J544" s="57">
        <v>2.3170000000000002</v>
      </c>
      <c r="K544" s="57">
        <v>1.26</v>
      </c>
      <c r="L544" s="70">
        <v>44678</v>
      </c>
    </row>
    <row r="545" spans="1:12" x14ac:dyDescent="0.2">
      <c r="A545" s="57" t="s">
        <v>59</v>
      </c>
      <c r="B545" s="57">
        <v>2029</v>
      </c>
      <c r="C545" s="57">
        <v>2</v>
      </c>
      <c r="D545" s="57">
        <v>1</v>
      </c>
      <c r="F545" s="57">
        <v>0.67400000000000004</v>
      </c>
      <c r="G545" s="57">
        <v>0.44579999999999997</v>
      </c>
      <c r="H545" s="57">
        <v>0.18229999999999999</v>
      </c>
      <c r="I545" s="57">
        <v>0.1095</v>
      </c>
      <c r="J545" s="57">
        <v>5.2480000000000002</v>
      </c>
      <c r="K545" s="57">
        <v>1.2575000000000001</v>
      </c>
      <c r="L545" s="70">
        <v>44678</v>
      </c>
    </row>
    <row r="546" spans="1:12" x14ac:dyDescent="0.2">
      <c r="A546" s="57" t="s">
        <v>159</v>
      </c>
      <c r="B546" s="57">
        <v>2086</v>
      </c>
      <c r="C546" s="57">
        <v>1</v>
      </c>
      <c r="D546" s="57">
        <v>0</v>
      </c>
      <c r="F546" s="57">
        <v>1.5046999999999999</v>
      </c>
      <c r="G546" s="57">
        <v>0.7117</v>
      </c>
      <c r="H546" s="57">
        <v>0.17249999999999999</v>
      </c>
      <c r="I546" s="57">
        <v>8.2500000000000004E-2</v>
      </c>
      <c r="J546" s="57">
        <v>2.411</v>
      </c>
      <c r="K546" s="57">
        <v>1.7475000000000001</v>
      </c>
      <c r="L546" s="70">
        <v>44678</v>
      </c>
    </row>
    <row r="547" spans="1:12" x14ac:dyDescent="0.2">
      <c r="A547" s="57" t="s">
        <v>159</v>
      </c>
      <c r="B547" s="57">
        <v>2004</v>
      </c>
      <c r="C547" s="57">
        <v>2</v>
      </c>
      <c r="D547" s="57">
        <v>0</v>
      </c>
      <c r="F547" s="57">
        <v>0.34660000000000002</v>
      </c>
      <c r="G547" s="57">
        <v>0.18559999999999999</v>
      </c>
      <c r="H547" s="57">
        <v>5.1900000000000002E-2</v>
      </c>
      <c r="I547" s="57">
        <v>2.6499999999999999E-2</v>
      </c>
      <c r="J547" s="57">
        <v>1.6990000000000001</v>
      </c>
      <c r="K547" s="57">
        <v>1.07</v>
      </c>
      <c r="L547" s="70">
        <v>44678</v>
      </c>
    </row>
    <row r="548" spans="1:12" x14ac:dyDescent="0.2">
      <c r="A548" s="57" t="s">
        <v>59</v>
      </c>
      <c r="B548" s="57">
        <v>2093</v>
      </c>
      <c r="C548" s="57">
        <v>2</v>
      </c>
      <c r="D548" s="57">
        <v>1</v>
      </c>
      <c r="F548" s="57">
        <v>0.74399999999999999</v>
      </c>
      <c r="G548" s="57">
        <v>0.4617</v>
      </c>
      <c r="H548" s="57">
        <v>0.1032</v>
      </c>
      <c r="I548" s="57">
        <v>6.3200000000000006E-2</v>
      </c>
      <c r="J548" s="57">
        <v>4.234</v>
      </c>
      <c r="K548" s="57">
        <v>1.1850000000000001</v>
      </c>
      <c r="L548" s="70">
        <v>44678</v>
      </c>
    </row>
    <row r="549" spans="1:12" x14ac:dyDescent="0.2">
      <c r="A549" s="57" t="s">
        <v>159</v>
      </c>
      <c r="B549" s="57">
        <v>2021</v>
      </c>
      <c r="C549" s="57">
        <v>2</v>
      </c>
      <c r="D549" s="57">
        <v>0</v>
      </c>
      <c r="F549" s="57">
        <v>0.46110000000000001</v>
      </c>
      <c r="G549" s="57">
        <v>0.2321</v>
      </c>
      <c r="H549" s="57">
        <v>3.1699999999999999E-2</v>
      </c>
      <c r="I549" s="57">
        <v>1.5599999999999999E-2</v>
      </c>
      <c r="J549" s="57">
        <v>0.76600000000000001</v>
      </c>
      <c r="K549" s="57">
        <v>1.0125</v>
      </c>
      <c r="L549" s="70">
        <v>44678</v>
      </c>
    </row>
    <row r="550" spans="1:12" x14ac:dyDescent="0.2">
      <c r="A550" s="57" t="s">
        <v>159</v>
      </c>
      <c r="B550" s="57">
        <v>2004</v>
      </c>
      <c r="C550" s="57">
        <v>3</v>
      </c>
      <c r="D550" s="57">
        <v>0</v>
      </c>
      <c r="F550" s="57">
        <v>0.38879999999999998</v>
      </c>
      <c r="G550" s="57">
        <v>0.2117</v>
      </c>
      <c r="H550" s="57">
        <v>5.8799999999999998E-2</v>
      </c>
      <c r="I550" s="57">
        <v>3.1E-2</v>
      </c>
      <c r="J550" s="57">
        <v>1.778</v>
      </c>
      <c r="K550" s="57">
        <v>0.97750000000000004</v>
      </c>
      <c r="L550" s="70">
        <v>44678</v>
      </c>
    </row>
    <row r="551" spans="1:12" x14ac:dyDescent="0.2">
      <c r="A551" s="57" t="s">
        <v>59</v>
      </c>
      <c r="B551" s="57">
        <v>2022</v>
      </c>
      <c r="C551" s="57">
        <v>1</v>
      </c>
      <c r="D551" s="57">
        <v>1</v>
      </c>
      <c r="F551" s="57">
        <v>0.84109999999999996</v>
      </c>
      <c r="G551" s="57">
        <v>0.52859999999999996</v>
      </c>
      <c r="H551" s="57">
        <v>9.7100000000000006E-2</v>
      </c>
      <c r="I551" s="57">
        <v>5.9900000000000002E-2</v>
      </c>
      <c r="J551" s="57">
        <v>2.7570000000000001</v>
      </c>
      <c r="K551" s="57">
        <v>1.2</v>
      </c>
      <c r="L551" s="70">
        <v>44678</v>
      </c>
    </row>
    <row r="552" spans="1:12" x14ac:dyDescent="0.2">
      <c r="A552" s="57" t="s">
        <v>159</v>
      </c>
      <c r="B552" s="57">
        <v>2025</v>
      </c>
      <c r="C552" s="57">
        <v>3</v>
      </c>
      <c r="D552" s="57">
        <v>0</v>
      </c>
      <c r="F552" s="57">
        <v>0.36449999999999999</v>
      </c>
      <c r="G552" s="57">
        <v>0.1817</v>
      </c>
      <c r="H552" s="57">
        <v>9.5999999999999992E-3</v>
      </c>
      <c r="I552" s="57">
        <v>4.5999999999999999E-3</v>
      </c>
      <c r="J552" s="57">
        <v>0.52600000000000002</v>
      </c>
      <c r="K552" s="57">
        <v>0.73250000000000004</v>
      </c>
      <c r="L552" s="70">
        <v>44678</v>
      </c>
    </row>
    <row r="553" spans="1:12" x14ac:dyDescent="0.2">
      <c r="A553" s="57" t="s">
        <v>59</v>
      </c>
      <c r="B553" s="57">
        <v>2089</v>
      </c>
      <c r="C553" s="57">
        <v>3</v>
      </c>
      <c r="D553" s="57">
        <v>0</v>
      </c>
      <c r="F553" s="57">
        <v>1.8729</v>
      </c>
      <c r="G553" s="57">
        <v>0.61180000000000001</v>
      </c>
      <c r="H553" s="57">
        <v>0.1724</v>
      </c>
      <c r="I553" s="57">
        <v>5.4800000000000001E-2</v>
      </c>
      <c r="J553" s="57">
        <v>5.4580000000000002</v>
      </c>
      <c r="K553" s="57">
        <v>1.2975000000000001</v>
      </c>
      <c r="L553" s="70">
        <v>44678</v>
      </c>
    </row>
    <row r="554" spans="1:12" x14ac:dyDescent="0.2">
      <c r="A554" s="57" t="s">
        <v>159</v>
      </c>
      <c r="B554" s="57">
        <v>2087</v>
      </c>
      <c r="C554" s="57">
        <v>1</v>
      </c>
      <c r="D554" s="57">
        <v>0</v>
      </c>
      <c r="F554" s="57">
        <v>0.79849999999999999</v>
      </c>
      <c r="G554" s="57">
        <v>0.39340000000000003</v>
      </c>
      <c r="H554" s="57">
        <v>0.25280000000000002</v>
      </c>
      <c r="I554" s="57">
        <v>0.1178</v>
      </c>
      <c r="J554" s="57">
        <v>2.4359999999999999</v>
      </c>
      <c r="K554" s="57">
        <v>1.41</v>
      </c>
      <c r="L554" s="70">
        <v>44678</v>
      </c>
    </row>
    <row r="555" spans="1:12" x14ac:dyDescent="0.2">
      <c r="A555" s="57" t="s">
        <v>59</v>
      </c>
      <c r="B555" s="57">
        <v>2093</v>
      </c>
      <c r="C555" s="57">
        <v>3</v>
      </c>
      <c r="D555" s="57">
        <v>1</v>
      </c>
      <c r="F555" s="57">
        <v>0.28739999999999999</v>
      </c>
      <c r="G555" s="57">
        <v>0.1862</v>
      </c>
      <c r="H555" s="57">
        <v>3.9300000000000002E-2</v>
      </c>
      <c r="I555" s="57">
        <v>2.3699999999999999E-2</v>
      </c>
      <c r="J555" s="57">
        <v>1.4119999999999999</v>
      </c>
      <c r="K555" s="57">
        <v>1.0925</v>
      </c>
      <c r="L555" s="70">
        <v>44678</v>
      </c>
    </row>
    <row r="556" spans="1:12" x14ac:dyDescent="0.2">
      <c r="A556" s="57" t="s">
        <v>59</v>
      </c>
      <c r="B556" s="57">
        <v>2023</v>
      </c>
      <c r="C556" s="57">
        <v>2</v>
      </c>
      <c r="D556" s="57">
        <v>0</v>
      </c>
      <c r="F556" s="57">
        <v>1.7949999999999999</v>
      </c>
      <c r="G556" s="57">
        <v>0.99099999999999999</v>
      </c>
      <c r="H556" s="57">
        <v>0.1701</v>
      </c>
      <c r="I556" s="57">
        <v>9.5699999999999993E-2</v>
      </c>
      <c r="J556" s="57">
        <v>4.5839999999999996</v>
      </c>
      <c r="K556" s="57">
        <v>1.36</v>
      </c>
      <c r="L556" s="70">
        <v>44678</v>
      </c>
    </row>
    <row r="557" spans="1:12" x14ac:dyDescent="0.2">
      <c r="A557" s="57" t="s">
        <v>59</v>
      </c>
      <c r="B557" s="57">
        <v>2093</v>
      </c>
      <c r="C557" s="57">
        <v>1</v>
      </c>
      <c r="D557" s="57">
        <v>1</v>
      </c>
      <c r="F557" s="57">
        <v>1.5028999999999999</v>
      </c>
      <c r="G557" s="57">
        <v>0.92659999999999998</v>
      </c>
      <c r="H557" s="57">
        <v>0.41980000000000001</v>
      </c>
      <c r="I557" s="57">
        <v>0.24049999999999999</v>
      </c>
      <c r="J557" s="57">
        <v>9.2469999999999999</v>
      </c>
      <c r="K557" s="57">
        <v>1.8825000000000001</v>
      </c>
      <c r="L557" s="70">
        <v>44678</v>
      </c>
    </row>
    <row r="558" spans="1:12" x14ac:dyDescent="0.2">
      <c r="A558" s="57" t="s">
        <v>59</v>
      </c>
      <c r="B558" s="57">
        <v>2093</v>
      </c>
      <c r="C558" s="57">
        <v>3</v>
      </c>
      <c r="D558" s="57">
        <v>2</v>
      </c>
      <c r="F558" s="57">
        <v>1.5599000000000001</v>
      </c>
      <c r="G558" s="57">
        <v>0.97909999999999997</v>
      </c>
      <c r="H558" s="57">
        <v>0.60570000000000002</v>
      </c>
      <c r="I558" s="57">
        <v>0.36630000000000001</v>
      </c>
      <c r="J558" s="57">
        <v>11.042</v>
      </c>
      <c r="K558" s="57">
        <v>2.09</v>
      </c>
      <c r="L558" s="70">
        <v>44678</v>
      </c>
    </row>
    <row r="559" spans="1:12" x14ac:dyDescent="0.2">
      <c r="A559" s="57" t="s">
        <v>59</v>
      </c>
      <c r="B559" s="57">
        <v>2022</v>
      </c>
      <c r="C559" s="57">
        <v>2</v>
      </c>
      <c r="D559" s="57">
        <v>1</v>
      </c>
      <c r="F559" s="57">
        <v>0.59860000000000002</v>
      </c>
      <c r="G559" s="57">
        <v>0.3836</v>
      </c>
      <c r="H559" s="57">
        <v>6.6500000000000004E-2</v>
      </c>
      <c r="I559" s="57">
        <v>3.9600000000000003E-2</v>
      </c>
      <c r="J559" s="57">
        <v>2.512</v>
      </c>
      <c r="K559" s="57">
        <v>1.4850000000000001</v>
      </c>
      <c r="L559" s="70">
        <v>44678</v>
      </c>
    </row>
    <row r="560" spans="1:12" x14ac:dyDescent="0.2">
      <c r="A560" s="57" t="s">
        <v>159</v>
      </c>
      <c r="B560" s="57">
        <v>2006</v>
      </c>
      <c r="C560" s="57">
        <v>2</v>
      </c>
      <c r="D560" s="57">
        <v>0</v>
      </c>
      <c r="F560" s="57">
        <v>1.1535</v>
      </c>
      <c r="G560" s="57">
        <v>0.59330000000000005</v>
      </c>
      <c r="H560" s="57">
        <v>0.1</v>
      </c>
      <c r="I560" s="57">
        <v>5.2900000000000003E-2</v>
      </c>
      <c r="J560" s="57">
        <v>1.6359999999999999</v>
      </c>
      <c r="K560" s="57">
        <v>1.4850000000000001</v>
      </c>
      <c r="L560" s="70">
        <v>44678</v>
      </c>
    </row>
    <row r="561" spans="1:12" x14ac:dyDescent="0.2">
      <c r="A561" s="57" t="s">
        <v>59</v>
      </c>
      <c r="B561" s="57">
        <v>2092</v>
      </c>
      <c r="C561" s="57">
        <v>3</v>
      </c>
      <c r="D561" s="57">
        <v>1</v>
      </c>
      <c r="F561" s="57">
        <v>0.36299999999999999</v>
      </c>
      <c r="G561" s="57">
        <v>0.22950000000000001</v>
      </c>
      <c r="H561" s="57">
        <v>6.7100000000000007E-2</v>
      </c>
      <c r="I561" s="57">
        <v>3.7400000000000003E-2</v>
      </c>
      <c r="J561" s="57">
        <v>1.9319999999999999</v>
      </c>
      <c r="K561" s="57">
        <v>1.0649999999999999</v>
      </c>
      <c r="L561" s="70">
        <v>44678</v>
      </c>
    </row>
    <row r="562" spans="1:12" x14ac:dyDescent="0.2">
      <c r="A562" s="57" t="s">
        <v>159</v>
      </c>
      <c r="B562" s="57">
        <v>2020</v>
      </c>
      <c r="C562" s="57">
        <v>2</v>
      </c>
      <c r="D562" s="57">
        <v>0</v>
      </c>
      <c r="F562" s="57">
        <v>0.70740000000000003</v>
      </c>
      <c r="G562" s="57">
        <v>0.37280000000000002</v>
      </c>
      <c r="H562" s="57">
        <v>0.1182</v>
      </c>
      <c r="I562" s="57">
        <v>5.9400000000000001E-2</v>
      </c>
      <c r="J562" s="57">
        <v>2.371</v>
      </c>
      <c r="K562" s="57">
        <v>1.3825000000000001</v>
      </c>
      <c r="L562" s="70">
        <v>44678</v>
      </c>
    </row>
    <row r="563" spans="1:12" x14ac:dyDescent="0.2">
      <c r="A563" s="57" t="s">
        <v>59</v>
      </c>
      <c r="B563" s="57">
        <v>2091</v>
      </c>
      <c r="C563" s="57">
        <v>3</v>
      </c>
      <c r="D563" s="57">
        <v>0</v>
      </c>
      <c r="F563" s="57">
        <v>0.76139999999999997</v>
      </c>
      <c r="G563" s="57">
        <v>0.27979999999999999</v>
      </c>
      <c r="H563" s="57">
        <v>5.6399999999999999E-2</v>
      </c>
      <c r="I563" s="57">
        <v>2.2100000000000002E-2</v>
      </c>
      <c r="J563" s="57">
        <v>2.4359999999999999</v>
      </c>
      <c r="K563" s="57">
        <v>1.0275000000000001</v>
      </c>
      <c r="L563" s="70">
        <v>44678</v>
      </c>
    </row>
    <row r="564" spans="1:12" x14ac:dyDescent="0.2">
      <c r="A564" s="57" t="s">
        <v>159</v>
      </c>
      <c r="B564" s="57">
        <v>2006</v>
      </c>
      <c r="C564" s="57">
        <v>1</v>
      </c>
      <c r="D564" s="57">
        <v>0</v>
      </c>
      <c r="F564" s="57">
        <v>1.4527000000000001</v>
      </c>
      <c r="G564" s="57">
        <v>0.7419</v>
      </c>
      <c r="H564" s="57">
        <v>0.18809999999999999</v>
      </c>
      <c r="I564" s="57">
        <v>9.6199999999999994E-2</v>
      </c>
      <c r="J564" s="57">
        <v>2.87</v>
      </c>
      <c r="K564" s="57">
        <v>1.9225000000000001</v>
      </c>
      <c r="L564" s="70">
        <v>44678</v>
      </c>
    </row>
    <row r="565" spans="1:12" x14ac:dyDescent="0.2">
      <c r="A565" s="57" t="s">
        <v>159</v>
      </c>
      <c r="B565" s="57">
        <v>2012</v>
      </c>
      <c r="C565" s="57">
        <v>2</v>
      </c>
      <c r="D565" s="57">
        <v>0</v>
      </c>
      <c r="F565" s="57">
        <v>0.30769999999999997</v>
      </c>
      <c r="G565" s="57">
        <v>0.1517</v>
      </c>
      <c r="H565" s="57">
        <v>1.9400000000000001E-2</v>
      </c>
      <c r="I565" s="57">
        <v>9.1999999999999998E-3</v>
      </c>
      <c r="J565" s="57">
        <v>0.73</v>
      </c>
      <c r="K565" s="57">
        <v>0.77249999999999996</v>
      </c>
      <c r="L565" s="70">
        <v>44678</v>
      </c>
    </row>
    <row r="566" spans="1:12" x14ac:dyDescent="0.2">
      <c r="A566" s="57" t="s">
        <v>59</v>
      </c>
      <c r="B566" s="57">
        <v>2022</v>
      </c>
      <c r="C566" s="57">
        <v>3</v>
      </c>
      <c r="D566" s="57">
        <v>1</v>
      </c>
      <c r="F566" s="57">
        <v>0.69530000000000003</v>
      </c>
      <c r="G566" s="57">
        <v>0.44569999999999999</v>
      </c>
      <c r="H566" s="57">
        <v>0.10440000000000001</v>
      </c>
      <c r="I566" s="57">
        <v>6.3700000000000007E-2</v>
      </c>
      <c r="J566" s="57">
        <v>4.0590000000000002</v>
      </c>
      <c r="K566" s="57">
        <v>1.375</v>
      </c>
      <c r="L566" s="70">
        <v>44678</v>
      </c>
    </row>
    <row r="567" spans="1:12" x14ac:dyDescent="0.2">
      <c r="A567" s="57" t="s">
        <v>59</v>
      </c>
      <c r="B567" s="57">
        <v>2030</v>
      </c>
      <c r="C567" s="57">
        <v>2</v>
      </c>
      <c r="D567" s="57">
        <v>0</v>
      </c>
      <c r="F567" s="57">
        <v>1.1271</v>
      </c>
      <c r="G567" s="57">
        <v>0.60170000000000001</v>
      </c>
      <c r="H567" s="57">
        <v>5.7700000000000001E-2</v>
      </c>
      <c r="I567" s="57">
        <v>3.09E-2</v>
      </c>
      <c r="J567" s="57">
        <v>1.2749999999999999</v>
      </c>
      <c r="K567" s="57">
        <v>1.37</v>
      </c>
      <c r="L567" s="70">
        <v>44678</v>
      </c>
    </row>
    <row r="568" spans="1:12" x14ac:dyDescent="0.2">
      <c r="A568" s="57" t="s">
        <v>159</v>
      </c>
      <c r="B568" s="57">
        <v>2088</v>
      </c>
      <c r="C568" s="57">
        <v>3</v>
      </c>
      <c r="D568" s="57">
        <v>0</v>
      </c>
      <c r="F568" s="57">
        <v>0.79630000000000001</v>
      </c>
      <c r="G568" s="57">
        <v>0.38179999999999997</v>
      </c>
      <c r="H568" s="57">
        <v>0.1066</v>
      </c>
      <c r="I568" s="57">
        <v>4.87E-2</v>
      </c>
      <c r="J568" s="57">
        <v>1.788</v>
      </c>
      <c r="K568" s="57">
        <v>1.31</v>
      </c>
      <c r="L568" s="70">
        <v>44678</v>
      </c>
    </row>
    <row r="569" spans="1:12" x14ac:dyDescent="0.2">
      <c r="A569" s="57" t="s">
        <v>59</v>
      </c>
      <c r="B569" s="57">
        <v>2030</v>
      </c>
      <c r="C569" s="57">
        <v>3</v>
      </c>
      <c r="D569" s="57">
        <v>0</v>
      </c>
      <c r="F569" s="57">
        <v>0.83750000000000002</v>
      </c>
      <c r="G569" s="57">
        <v>0.4597</v>
      </c>
      <c r="H569" s="57">
        <v>4.2700000000000002E-2</v>
      </c>
      <c r="I569" s="57">
        <v>2.35E-2</v>
      </c>
      <c r="J569" s="57">
        <v>1.847</v>
      </c>
      <c r="K569" s="57">
        <v>0.94499999999999995</v>
      </c>
      <c r="L569" s="70">
        <v>44678</v>
      </c>
    </row>
    <row r="570" spans="1:12" x14ac:dyDescent="0.2">
      <c r="A570" s="57" t="s">
        <v>159</v>
      </c>
      <c r="B570" s="57">
        <v>2088</v>
      </c>
      <c r="C570" s="57">
        <v>1</v>
      </c>
      <c r="D570" s="57">
        <v>0</v>
      </c>
      <c r="F570" s="57">
        <v>0.9022</v>
      </c>
      <c r="G570" s="57">
        <v>0.43619999999999998</v>
      </c>
      <c r="H570" s="57">
        <v>0.2399</v>
      </c>
      <c r="I570" s="57">
        <v>0.1077</v>
      </c>
      <c r="J570" s="57">
        <v>4.7309999999999999</v>
      </c>
      <c r="K570" s="57">
        <v>1.71</v>
      </c>
      <c r="L570" s="70">
        <v>44678</v>
      </c>
    </row>
    <row r="571" spans="1:12" x14ac:dyDescent="0.2">
      <c r="A571" s="57" t="s">
        <v>159</v>
      </c>
      <c r="B571" s="57">
        <v>2020</v>
      </c>
      <c r="C571" s="57">
        <v>3</v>
      </c>
      <c r="D571" s="57">
        <v>0</v>
      </c>
      <c r="F571" s="57">
        <v>0.69499999999999995</v>
      </c>
      <c r="G571" s="57">
        <v>0.35</v>
      </c>
      <c r="H571" s="57">
        <v>0.1411</v>
      </c>
      <c r="I571" s="57">
        <v>7.1999999999999995E-2</v>
      </c>
      <c r="J571" s="57">
        <v>2.2919999999999998</v>
      </c>
      <c r="K571" s="57">
        <v>1.1975</v>
      </c>
      <c r="L571" s="70">
        <v>44678</v>
      </c>
    </row>
    <row r="572" spans="1:12" x14ac:dyDescent="0.2">
      <c r="A572" s="57" t="s">
        <v>159</v>
      </c>
      <c r="B572" s="57">
        <v>2087</v>
      </c>
      <c r="C572" s="57">
        <v>3</v>
      </c>
      <c r="D572" s="57">
        <v>0</v>
      </c>
      <c r="F572" s="57">
        <v>0.74980000000000002</v>
      </c>
      <c r="G572" s="57">
        <v>0.35830000000000001</v>
      </c>
      <c r="H572" s="57">
        <v>6.9400000000000003E-2</v>
      </c>
      <c r="I572" s="57">
        <v>2.98E-2</v>
      </c>
      <c r="J572" s="57">
        <v>1.288</v>
      </c>
      <c r="K572" s="57">
        <v>1.2275</v>
      </c>
      <c r="L572" s="70">
        <v>44678</v>
      </c>
    </row>
    <row r="573" spans="1:12" x14ac:dyDescent="0.2">
      <c r="A573" s="57" t="s">
        <v>159</v>
      </c>
      <c r="B573" s="57">
        <v>2007</v>
      </c>
      <c r="C573" s="57">
        <v>1</v>
      </c>
      <c r="D573" s="57">
        <v>0</v>
      </c>
      <c r="F573" s="57">
        <v>0.81879999999999997</v>
      </c>
      <c r="G573" s="57">
        <v>0.42149999999999999</v>
      </c>
      <c r="H573" s="57">
        <v>0.1101</v>
      </c>
      <c r="I573" s="57">
        <v>5.7200000000000001E-2</v>
      </c>
      <c r="J573" s="57">
        <v>2.4849999999999999</v>
      </c>
      <c r="K573" s="57">
        <v>1.1274999999999999</v>
      </c>
      <c r="L573" s="70">
        <v>44678</v>
      </c>
    </row>
    <row r="574" spans="1:12" x14ac:dyDescent="0.2">
      <c r="A574" s="57" t="s">
        <v>159</v>
      </c>
      <c r="B574" s="57">
        <v>2354</v>
      </c>
      <c r="C574" s="57">
        <v>1</v>
      </c>
      <c r="D574" s="57">
        <v>0</v>
      </c>
      <c r="F574" s="57">
        <v>0.60960000000000003</v>
      </c>
      <c r="G574" s="57">
        <v>0.29099999999999998</v>
      </c>
      <c r="H574" s="57">
        <v>8.3599999999999994E-2</v>
      </c>
      <c r="I574" s="57">
        <v>3.6799999999999999E-2</v>
      </c>
      <c r="J574" s="57">
        <v>2.0539999999999998</v>
      </c>
      <c r="K574" s="57">
        <v>1.0425</v>
      </c>
      <c r="L574" s="70">
        <v>44678</v>
      </c>
    </row>
    <row r="575" spans="1:12" x14ac:dyDescent="0.2">
      <c r="A575" s="57" t="s">
        <v>59</v>
      </c>
      <c r="B575" s="57">
        <v>2093</v>
      </c>
      <c r="C575" s="57">
        <v>1</v>
      </c>
      <c r="D575" s="57">
        <v>0</v>
      </c>
      <c r="F575" s="57">
        <v>0.74419999999999997</v>
      </c>
      <c r="G575" s="57">
        <v>0.39290000000000003</v>
      </c>
      <c r="H575" s="57">
        <v>6.4799999999999996E-2</v>
      </c>
      <c r="I575" s="57">
        <v>3.27E-2</v>
      </c>
      <c r="J575" s="57">
        <v>2.1735000000000002</v>
      </c>
      <c r="K575" s="57">
        <v>0.92749999999999999</v>
      </c>
      <c r="L575" s="70">
        <v>44678</v>
      </c>
    </row>
    <row r="576" spans="1:12" x14ac:dyDescent="0.2">
      <c r="A576" s="57" t="s">
        <v>59</v>
      </c>
      <c r="B576" s="57">
        <v>2029</v>
      </c>
      <c r="C576" s="57">
        <v>3</v>
      </c>
      <c r="D576" s="57">
        <v>0</v>
      </c>
      <c r="F576" s="57">
        <v>1.2145999999999999</v>
      </c>
      <c r="G576" s="57">
        <v>0.73829999999999996</v>
      </c>
      <c r="H576" s="57">
        <v>4.8599999999999997E-2</v>
      </c>
      <c r="I576" s="57">
        <v>2.92E-2</v>
      </c>
      <c r="J576" s="57">
        <v>2.5129999999999999</v>
      </c>
      <c r="K576" s="57">
        <v>1.05</v>
      </c>
      <c r="L576" s="70">
        <v>44678</v>
      </c>
    </row>
    <row r="577" spans="1:12" x14ac:dyDescent="0.2">
      <c r="A577" s="57" t="s">
        <v>159</v>
      </c>
      <c r="B577" s="57">
        <v>2007</v>
      </c>
      <c r="C577" s="57">
        <v>3</v>
      </c>
      <c r="D577" s="57">
        <v>0</v>
      </c>
      <c r="F577" s="57">
        <v>0.40450000000000003</v>
      </c>
      <c r="G577" s="57">
        <v>0.21</v>
      </c>
      <c r="H577" s="57">
        <v>5.1299999999999998E-2</v>
      </c>
      <c r="I577" s="57">
        <v>2.6599999999999999E-2</v>
      </c>
      <c r="J577" s="57">
        <v>1.367</v>
      </c>
      <c r="K577" s="57">
        <v>0.88</v>
      </c>
      <c r="L577" s="70">
        <v>44678</v>
      </c>
    </row>
    <row r="578" spans="1:12" x14ac:dyDescent="0.2">
      <c r="A578" s="57" t="s">
        <v>159</v>
      </c>
      <c r="B578" s="57">
        <v>2090</v>
      </c>
      <c r="C578" s="57">
        <v>2</v>
      </c>
      <c r="D578" s="57">
        <v>0</v>
      </c>
      <c r="F578" s="57">
        <v>0.97550000000000003</v>
      </c>
      <c r="G578" s="57">
        <v>0.46160000000000001</v>
      </c>
      <c r="H578" s="57">
        <v>9.5000000000000001E-2</v>
      </c>
      <c r="I578" s="57">
        <v>4.5199999999999997E-2</v>
      </c>
      <c r="J578" s="57">
        <v>1.675</v>
      </c>
      <c r="K578" s="57">
        <v>1.2524999999999999</v>
      </c>
      <c r="L578" s="70">
        <v>44678</v>
      </c>
    </row>
    <row r="579" spans="1:12" x14ac:dyDescent="0.2">
      <c r="A579" s="57" t="s">
        <v>59</v>
      </c>
      <c r="B579" s="57">
        <v>2092</v>
      </c>
      <c r="C579" s="57">
        <v>2</v>
      </c>
      <c r="D579" s="57">
        <v>1</v>
      </c>
      <c r="F579" s="57">
        <v>0.57220000000000004</v>
      </c>
      <c r="G579" s="57">
        <v>0.35949999999999999</v>
      </c>
      <c r="H579" s="57">
        <v>0.22059999999999999</v>
      </c>
      <c r="I579" s="57">
        <v>0.1191</v>
      </c>
      <c r="J579" s="57">
        <v>3.5569999999999999</v>
      </c>
      <c r="K579" s="57">
        <v>1.635</v>
      </c>
      <c r="L579" s="70">
        <v>44678</v>
      </c>
    </row>
    <row r="580" spans="1:12" x14ac:dyDescent="0.2">
      <c r="A580" s="57" t="s">
        <v>159</v>
      </c>
      <c r="B580" s="57">
        <v>2375</v>
      </c>
      <c r="C580" s="57">
        <v>1</v>
      </c>
      <c r="D580" s="57">
        <v>0</v>
      </c>
      <c r="F580" s="57">
        <v>0.98</v>
      </c>
      <c r="G580" s="57">
        <v>0.44600000000000001</v>
      </c>
      <c r="H580" s="57">
        <v>0.154</v>
      </c>
      <c r="I580" s="57">
        <v>6.7000000000000004E-2</v>
      </c>
      <c r="J580" s="57">
        <v>2.06</v>
      </c>
      <c r="K580" s="33">
        <f>AVERAGE(1.51,1.41,1.48,1.55)</f>
        <v>1.4875</v>
      </c>
      <c r="L580" s="70">
        <v>44704</v>
      </c>
    </row>
    <row r="581" spans="1:12" x14ac:dyDescent="0.2">
      <c r="A581" s="57" t="s">
        <v>59</v>
      </c>
      <c r="B581" s="57">
        <v>2345</v>
      </c>
      <c r="C581" s="57">
        <v>3</v>
      </c>
      <c r="D581" s="57">
        <v>1</v>
      </c>
      <c r="F581" s="57">
        <v>1.768</v>
      </c>
      <c r="G581" s="57">
        <v>0.97199999999999998</v>
      </c>
      <c r="H581" s="57">
        <v>0.28399999999999997</v>
      </c>
      <c r="I581" s="57">
        <v>0.14699999999999999</v>
      </c>
      <c r="J581" s="57">
        <v>5.65</v>
      </c>
      <c r="K581" s="33">
        <f>AVERAGE(1.53,1.59,1.44,1.57)</f>
        <v>1.5325000000000002</v>
      </c>
      <c r="L581" s="70">
        <v>44704</v>
      </c>
    </row>
    <row r="582" spans="1:12" x14ac:dyDescent="0.2">
      <c r="A582" s="57" t="s">
        <v>159</v>
      </c>
      <c r="B582" s="57">
        <v>2369</v>
      </c>
      <c r="C582" s="57">
        <v>2</v>
      </c>
      <c r="D582" s="57">
        <v>0</v>
      </c>
      <c r="F582" s="57">
        <v>0.54800000000000004</v>
      </c>
      <c r="G582" s="57">
        <v>0.30199999999999999</v>
      </c>
      <c r="H582" s="57">
        <v>4.5999999999999999E-2</v>
      </c>
      <c r="I582" s="57">
        <v>2.5999999999999999E-2</v>
      </c>
      <c r="J582" s="57">
        <v>1.56</v>
      </c>
      <c r="K582" s="33">
        <f>AVERAGE(1.28,0.9,1.04,1.02)</f>
        <v>1.06</v>
      </c>
      <c r="L582" s="70">
        <v>44704</v>
      </c>
    </row>
    <row r="583" spans="1:12" x14ac:dyDescent="0.2">
      <c r="A583" s="57" t="s">
        <v>59</v>
      </c>
      <c r="B583" s="57">
        <v>2023</v>
      </c>
      <c r="C583" s="57">
        <v>3</v>
      </c>
      <c r="D583" s="57">
        <v>1</v>
      </c>
      <c r="F583" s="57">
        <v>0.73499999999999999</v>
      </c>
      <c r="G583" s="57">
        <v>0.42899999999999999</v>
      </c>
      <c r="H583" s="57">
        <v>0.17599999999999999</v>
      </c>
      <c r="I583" s="57">
        <v>9.8000000000000004E-2</v>
      </c>
      <c r="J583" s="57">
        <v>3.51</v>
      </c>
      <c r="K583" s="33">
        <f>AVERAGE(1.88,1.83,1.84,1.99)</f>
        <v>1.885</v>
      </c>
      <c r="L583" s="70">
        <v>44704</v>
      </c>
    </row>
    <row r="584" spans="1:12" x14ac:dyDescent="0.2">
      <c r="A584" s="57" t="s">
        <v>159</v>
      </c>
      <c r="B584" s="57">
        <v>2024</v>
      </c>
      <c r="C584" s="57">
        <v>3</v>
      </c>
      <c r="D584" s="57">
        <v>0</v>
      </c>
      <c r="F584" s="57">
        <v>1.3240000000000001</v>
      </c>
      <c r="G584" s="57">
        <v>0.627</v>
      </c>
      <c r="H584" s="57">
        <v>0.246</v>
      </c>
      <c r="I584" s="57">
        <v>0.115</v>
      </c>
      <c r="J584" s="57">
        <v>2.94</v>
      </c>
      <c r="K584" s="33">
        <f>AVERAGE(2.28,2.38,2.34,2.44)</f>
        <v>2.36</v>
      </c>
      <c r="L584" s="70">
        <v>44704</v>
      </c>
    </row>
    <row r="585" spans="1:12" x14ac:dyDescent="0.2">
      <c r="A585" s="57" t="s">
        <v>159</v>
      </c>
      <c r="B585" s="57">
        <v>2010</v>
      </c>
      <c r="C585" s="57">
        <v>2</v>
      </c>
      <c r="D585" s="57">
        <v>0</v>
      </c>
      <c r="F585" s="57">
        <v>1.462</v>
      </c>
      <c r="G585" s="57">
        <v>0.72399999999999998</v>
      </c>
      <c r="H585" s="57">
        <v>0.249</v>
      </c>
      <c r="I585" s="57">
        <v>0.12</v>
      </c>
      <c r="J585" s="57">
        <v>2.4700000000000002</v>
      </c>
      <c r="K585" s="33">
        <f>AVERAGE(1.99,1.95,1.74,2.04)</f>
        <v>1.93</v>
      </c>
      <c r="L585" s="70">
        <v>44704</v>
      </c>
    </row>
    <row r="586" spans="1:12" x14ac:dyDescent="0.2">
      <c r="A586" s="57" t="s">
        <v>159</v>
      </c>
      <c r="B586" s="57">
        <v>2369</v>
      </c>
      <c r="C586" s="57">
        <v>1</v>
      </c>
      <c r="D586" s="57">
        <v>0</v>
      </c>
      <c r="F586" s="57">
        <v>0.872</v>
      </c>
      <c r="G586" s="57">
        <v>0.47899999999999998</v>
      </c>
      <c r="H586" s="57">
        <v>0.106</v>
      </c>
      <c r="I586" s="57">
        <v>0.06</v>
      </c>
      <c r="J586" s="57">
        <v>2.99</v>
      </c>
      <c r="K586" s="33">
        <f>AVERAGE(1.22,1.15,1.34,1.23)</f>
        <v>1.2349999999999999</v>
      </c>
      <c r="L586" s="70">
        <v>44704</v>
      </c>
    </row>
    <row r="587" spans="1:12" x14ac:dyDescent="0.2">
      <c r="A587" s="57" t="s">
        <v>59</v>
      </c>
      <c r="B587" s="57">
        <v>2380</v>
      </c>
      <c r="C587" s="57">
        <v>1</v>
      </c>
      <c r="D587" s="57">
        <v>1</v>
      </c>
      <c r="F587" s="57">
        <v>1.4259999999999999</v>
      </c>
      <c r="G587" s="57">
        <v>0.83399999999999996</v>
      </c>
      <c r="H587" s="57">
        <v>0.38100000000000001</v>
      </c>
      <c r="I587" s="57">
        <v>0.20499999999999999</v>
      </c>
      <c r="J587" s="57">
        <v>6</v>
      </c>
      <c r="K587" s="33">
        <f>AVERAGE(1.69,1.63,1.73,1.65)</f>
        <v>1.6749999999999998</v>
      </c>
      <c r="L587" s="70">
        <v>44704</v>
      </c>
    </row>
    <row r="588" spans="1:12" x14ac:dyDescent="0.2">
      <c r="A588" s="57" t="s">
        <v>59</v>
      </c>
      <c r="B588" s="57">
        <v>2352</v>
      </c>
      <c r="C588" s="57">
        <v>1</v>
      </c>
      <c r="D588" s="57">
        <v>1</v>
      </c>
      <c r="F588" s="57">
        <v>1.33</v>
      </c>
      <c r="G588" s="57">
        <v>0.83499999999999996</v>
      </c>
      <c r="H588" s="57">
        <v>0.34699999999999998</v>
      </c>
      <c r="I588" s="57">
        <v>0.216</v>
      </c>
      <c r="J588" s="57">
        <v>10.19</v>
      </c>
      <c r="K588" s="33">
        <f>AVERAGE(1.73,1.82,1.89,1.65)</f>
        <v>1.7725</v>
      </c>
      <c r="L588" s="70">
        <v>44704</v>
      </c>
    </row>
    <row r="589" spans="1:12" x14ac:dyDescent="0.2">
      <c r="A589" s="57" t="s">
        <v>59</v>
      </c>
      <c r="B589" s="57">
        <v>2301</v>
      </c>
      <c r="C589" s="57">
        <v>2</v>
      </c>
      <c r="D589" s="57">
        <v>1</v>
      </c>
      <c r="F589" s="57">
        <v>3.2890000000000001</v>
      </c>
      <c r="G589" s="57">
        <v>1.8779999999999999</v>
      </c>
      <c r="H589" s="57">
        <v>0.39200000000000002</v>
      </c>
      <c r="I589" s="57">
        <v>0.22800000000000001</v>
      </c>
      <c r="J589" s="57">
        <v>7.28</v>
      </c>
      <c r="K589" s="33">
        <f>AVERAGE(1.91,1.93,1.97,2.03)</f>
        <v>1.96</v>
      </c>
      <c r="L589" s="70">
        <v>44704</v>
      </c>
    </row>
    <row r="590" spans="1:12" x14ac:dyDescent="0.2">
      <c r="A590" s="57" t="s">
        <v>159</v>
      </c>
      <c r="B590" s="57">
        <v>2010</v>
      </c>
      <c r="C590" s="57">
        <v>3</v>
      </c>
      <c r="D590" s="57">
        <v>0</v>
      </c>
      <c r="F590" s="57">
        <v>1.2150000000000001</v>
      </c>
      <c r="G590" s="57">
        <v>0.60399999999999998</v>
      </c>
      <c r="H590" s="57">
        <v>0.15</v>
      </c>
      <c r="I590" s="57">
        <v>7.2999999999999995E-2</v>
      </c>
      <c r="J590" s="57">
        <v>2.37</v>
      </c>
      <c r="K590" s="33">
        <f>AVERAGE(1.48,1.64,1.53,1.64)</f>
        <v>1.5725</v>
      </c>
      <c r="L590" s="70">
        <v>44704</v>
      </c>
    </row>
    <row r="591" spans="1:12" x14ac:dyDescent="0.2">
      <c r="A591" s="57" t="s">
        <v>159</v>
      </c>
      <c r="B591" s="57">
        <v>2378</v>
      </c>
      <c r="C591" s="57">
        <v>3</v>
      </c>
      <c r="D591" s="57">
        <v>0</v>
      </c>
      <c r="F591" s="57">
        <v>0.69989999999999997</v>
      </c>
      <c r="G591" s="57">
        <v>0.32700000000000001</v>
      </c>
      <c r="H591" s="57">
        <v>0.17699999999999999</v>
      </c>
      <c r="I591" s="57">
        <v>8.2000000000000003E-2</v>
      </c>
      <c r="J591" s="57">
        <v>4.13</v>
      </c>
      <c r="K591" s="33">
        <f>AVERAGE(1.35,1.49,1.53,1.43)</f>
        <v>1.45</v>
      </c>
      <c r="L591" s="70">
        <v>44704</v>
      </c>
    </row>
    <row r="592" spans="1:12" x14ac:dyDescent="0.2">
      <c r="A592" s="57" t="s">
        <v>159</v>
      </c>
      <c r="B592" s="57">
        <v>2025</v>
      </c>
      <c r="C592" s="57">
        <v>2</v>
      </c>
      <c r="D592" s="57">
        <v>0</v>
      </c>
      <c r="F592" s="57">
        <v>1.0189999999999999</v>
      </c>
      <c r="G592" s="57">
        <v>0.51900000000000002</v>
      </c>
      <c r="H592" s="57">
        <v>0.14899999999999999</v>
      </c>
      <c r="I592" s="57">
        <v>7.8E-2</v>
      </c>
      <c r="J592" s="57">
        <v>2.95</v>
      </c>
      <c r="K592" s="33">
        <f>AVERAGE(1.6,1.31,1.33,1.42)</f>
        <v>1.415</v>
      </c>
      <c r="L592" s="70">
        <v>44704</v>
      </c>
    </row>
    <row r="593" spans="1:12" x14ac:dyDescent="0.2">
      <c r="A593" s="57" t="s">
        <v>159</v>
      </c>
      <c r="B593" s="57">
        <v>2346</v>
      </c>
      <c r="C593" s="57">
        <v>3</v>
      </c>
      <c r="D593" s="57">
        <v>0</v>
      </c>
      <c r="F593" s="57">
        <v>0.193</v>
      </c>
      <c r="G593" s="57">
        <v>9.2999999999999999E-2</v>
      </c>
      <c r="H593" s="57">
        <v>1.7000000000000001E-2</v>
      </c>
      <c r="I593" s="57">
        <v>8.0000000000000002E-3</v>
      </c>
      <c r="J593" s="57">
        <v>0.63</v>
      </c>
      <c r="K593" s="33">
        <f>AVERAGE(0.64,0.71,0.69,0.74)</f>
        <v>0.69500000000000006</v>
      </c>
      <c r="L593" s="70">
        <v>44704</v>
      </c>
    </row>
    <row r="594" spans="1:12" x14ac:dyDescent="0.2">
      <c r="A594" s="57" t="s">
        <v>159</v>
      </c>
      <c r="B594" s="57">
        <v>2370</v>
      </c>
      <c r="C594" s="57">
        <v>2</v>
      </c>
      <c r="D594" s="57">
        <v>0</v>
      </c>
      <c r="F594" s="57">
        <v>0.59399999999999997</v>
      </c>
      <c r="G594" s="57">
        <v>0.29299999999999998</v>
      </c>
      <c r="H594" s="57">
        <v>5.6000000000000001E-2</v>
      </c>
      <c r="I594" s="57">
        <v>2.5999999999999999E-2</v>
      </c>
      <c r="J594" s="57">
        <v>1.19</v>
      </c>
      <c r="K594" s="33">
        <f>AVERAGE(0.89,0.97,0.99,1)</f>
        <v>0.96249999999999991</v>
      </c>
      <c r="L594" s="70">
        <v>44704</v>
      </c>
    </row>
    <row r="595" spans="1:12" x14ac:dyDescent="0.2">
      <c r="A595" s="57" t="s">
        <v>159</v>
      </c>
      <c r="B595" s="57">
        <v>2009</v>
      </c>
      <c r="C595" s="57">
        <v>2</v>
      </c>
      <c r="D595" s="57">
        <v>0</v>
      </c>
      <c r="F595" s="57">
        <v>0.64800000000000002</v>
      </c>
      <c r="G595" s="57">
        <v>0.29699999999999999</v>
      </c>
      <c r="H595" s="57">
        <v>5.3999999999999999E-2</v>
      </c>
      <c r="I595" s="57">
        <v>2.4E-2</v>
      </c>
      <c r="J595" s="57">
        <v>0.95</v>
      </c>
      <c r="K595" s="33">
        <f>AVERAGE(1.11,1.17,1.03,1.1)</f>
        <v>1.1025</v>
      </c>
      <c r="L595" s="70">
        <v>44704</v>
      </c>
    </row>
    <row r="596" spans="1:12" x14ac:dyDescent="0.2">
      <c r="A596" s="57" t="s">
        <v>159</v>
      </c>
      <c r="B596" s="57">
        <v>2020</v>
      </c>
      <c r="C596" s="57">
        <v>3</v>
      </c>
      <c r="D596" s="57">
        <v>0</v>
      </c>
      <c r="F596" s="57">
        <v>0.64400000000000002</v>
      </c>
      <c r="G596" s="57">
        <v>0.311</v>
      </c>
      <c r="H596" s="57">
        <v>0.151</v>
      </c>
      <c r="I596" s="57">
        <v>6.6000000000000003E-2</v>
      </c>
      <c r="J596" s="57">
        <v>2.69</v>
      </c>
      <c r="K596" s="33">
        <f>AVERAGE(1.28,1.32,1.28,1.32)</f>
        <v>1.3</v>
      </c>
      <c r="L596" s="70">
        <v>44704</v>
      </c>
    </row>
    <row r="597" spans="1:12" x14ac:dyDescent="0.2">
      <c r="A597" s="57" t="s">
        <v>59</v>
      </c>
      <c r="B597" s="57">
        <v>2345</v>
      </c>
      <c r="C597" s="57">
        <v>2</v>
      </c>
      <c r="D597" s="57">
        <v>1</v>
      </c>
      <c r="F597" s="57">
        <v>2.3319999999999999</v>
      </c>
      <c r="G597" s="57">
        <v>1.3520000000000001</v>
      </c>
      <c r="H597" s="57">
        <v>0.34399999999999997</v>
      </c>
      <c r="I597" s="57">
        <v>0.191</v>
      </c>
      <c r="J597" s="57">
        <v>6.06</v>
      </c>
      <c r="K597" s="33">
        <f>AVERAGE(1.75,1.77,1.85,1.74)</f>
        <v>1.7775000000000001</v>
      </c>
      <c r="L597" s="70">
        <v>44704</v>
      </c>
    </row>
    <row r="598" spans="1:12" x14ac:dyDescent="0.2">
      <c r="A598" s="57" t="s">
        <v>159</v>
      </c>
      <c r="B598" s="57">
        <v>2371</v>
      </c>
      <c r="C598" s="57">
        <v>1</v>
      </c>
      <c r="D598" s="57">
        <v>0</v>
      </c>
      <c r="F598" s="57">
        <v>1.0720000000000001</v>
      </c>
      <c r="G598" s="57">
        <v>0.45900000000000002</v>
      </c>
      <c r="H598" s="57">
        <v>0.10299999999999999</v>
      </c>
      <c r="I598" s="57">
        <v>4.2000000000000003E-2</v>
      </c>
      <c r="J598" s="57">
        <v>1.47</v>
      </c>
      <c r="K598" s="33">
        <f>AVERAGE(1.26,1.27,1.26,1.37)</f>
        <v>1.29</v>
      </c>
      <c r="L598" s="70">
        <v>44704</v>
      </c>
    </row>
    <row r="599" spans="1:12" x14ac:dyDescent="0.2">
      <c r="A599" s="57" t="s">
        <v>59</v>
      </c>
      <c r="B599" s="57">
        <v>2331</v>
      </c>
      <c r="C599" s="57">
        <v>3</v>
      </c>
      <c r="D599" s="57">
        <v>0</v>
      </c>
      <c r="E599" s="57" t="s">
        <v>160</v>
      </c>
      <c r="F599" s="57">
        <v>2.9000000000000001E-2</v>
      </c>
      <c r="G599" s="57">
        <v>1.4999999999999999E-2</v>
      </c>
      <c r="H599" s="57">
        <v>3.4000000000000002E-2</v>
      </c>
      <c r="I599" s="57">
        <v>1.6E-2</v>
      </c>
      <c r="J599" s="57">
        <v>1.68</v>
      </c>
      <c r="K599" s="33">
        <f>AVERAGE(0.77,9.83,0.93,0.79)</f>
        <v>3.08</v>
      </c>
      <c r="L599" s="70">
        <v>44704</v>
      </c>
    </row>
    <row r="600" spans="1:12" x14ac:dyDescent="0.2">
      <c r="A600" s="57" t="s">
        <v>59</v>
      </c>
      <c r="B600" s="57">
        <v>2345</v>
      </c>
      <c r="C600" s="57">
        <v>1</v>
      </c>
      <c r="D600" s="57">
        <v>1</v>
      </c>
      <c r="F600" s="57">
        <v>1.619</v>
      </c>
      <c r="G600" s="57">
        <v>0.91300000000000003</v>
      </c>
      <c r="H600" s="57">
        <v>0.50800000000000001</v>
      </c>
      <c r="I600" s="57">
        <v>0.28100000000000003</v>
      </c>
      <c r="J600" s="57">
        <v>7.61</v>
      </c>
      <c r="K600" s="33">
        <f>AVERAGE(1.07,1.1,1.11,1.03)</f>
        <v>1.0775000000000001</v>
      </c>
      <c r="L600" s="70">
        <v>44704</v>
      </c>
    </row>
    <row r="601" spans="1:12" x14ac:dyDescent="0.2">
      <c r="A601" s="57" t="s">
        <v>159</v>
      </c>
      <c r="B601" s="57">
        <v>2382</v>
      </c>
      <c r="C601" s="57">
        <v>1</v>
      </c>
      <c r="D601" s="57">
        <v>0</v>
      </c>
      <c r="F601" s="57">
        <v>0.878</v>
      </c>
      <c r="G601" s="57">
        <v>0.40200000000000002</v>
      </c>
      <c r="H601" s="57">
        <v>5.6000000000000001E-2</v>
      </c>
      <c r="I601" s="57">
        <v>2.5999999999999999E-2</v>
      </c>
      <c r="J601" s="57">
        <v>1.25</v>
      </c>
      <c r="K601" s="33">
        <f>AVERAGE(1.57,1.33,1.63,1.43)</f>
        <v>1.49</v>
      </c>
      <c r="L601" s="70">
        <v>44704</v>
      </c>
    </row>
    <row r="602" spans="1:12" x14ac:dyDescent="0.2">
      <c r="A602" s="57" t="s">
        <v>59</v>
      </c>
      <c r="B602" s="57">
        <v>2023</v>
      </c>
      <c r="C602" s="57">
        <v>1</v>
      </c>
      <c r="D602" s="57">
        <v>1</v>
      </c>
      <c r="F602" s="57">
        <v>0.312</v>
      </c>
      <c r="G602" s="57">
        <v>0.17799999999999999</v>
      </c>
      <c r="H602" s="57">
        <v>9.8000000000000004E-2</v>
      </c>
      <c r="I602" s="57">
        <v>5.3999999999999999E-2</v>
      </c>
      <c r="J602" s="57">
        <v>2.1800000000000002</v>
      </c>
      <c r="K602" s="33">
        <f>AVERAGE(1.35,1.36,1.45,1.47)</f>
        <v>1.4075</v>
      </c>
      <c r="L602" s="70">
        <v>44704</v>
      </c>
    </row>
    <row r="603" spans="1:12" x14ac:dyDescent="0.2">
      <c r="A603" s="57" t="s">
        <v>159</v>
      </c>
      <c r="B603" s="57">
        <v>2378</v>
      </c>
      <c r="C603" s="57">
        <v>1</v>
      </c>
      <c r="D603" s="57">
        <v>0</v>
      </c>
      <c r="F603" s="57">
        <v>1.6719999999999999</v>
      </c>
      <c r="G603" s="57">
        <v>0.78400000000000003</v>
      </c>
      <c r="H603" s="57">
        <v>0.58899999999999997</v>
      </c>
      <c r="I603" s="57">
        <v>0.28000000000000003</v>
      </c>
      <c r="J603" s="57">
        <v>8.49</v>
      </c>
      <c r="K603" s="33">
        <f>AVERAGE(2.14,2.15,2.19,2.24)</f>
        <v>2.1800000000000002</v>
      </c>
      <c r="L603" s="70">
        <v>44704</v>
      </c>
    </row>
    <row r="604" spans="1:12" x14ac:dyDescent="0.2">
      <c r="A604" s="57" t="s">
        <v>159</v>
      </c>
      <c r="B604" s="57">
        <v>2020</v>
      </c>
      <c r="C604" s="57">
        <v>1</v>
      </c>
      <c r="D604" s="57">
        <v>0</v>
      </c>
      <c r="F604" s="57">
        <v>0.37</v>
      </c>
      <c r="G604" s="57">
        <v>0.183</v>
      </c>
      <c r="H604" s="57">
        <v>0.06</v>
      </c>
      <c r="I604" s="57">
        <v>2.8000000000000001E-2</v>
      </c>
      <c r="J604" s="57">
        <v>1.31</v>
      </c>
      <c r="K604" s="33">
        <f>AVERAGE(1.03,1.05,1.07,1.1)</f>
        <v>1.0625</v>
      </c>
      <c r="L604" s="70">
        <v>44704</v>
      </c>
    </row>
    <row r="605" spans="1:12" x14ac:dyDescent="0.2">
      <c r="A605" s="57" t="s">
        <v>59</v>
      </c>
      <c r="B605" s="57">
        <v>2301</v>
      </c>
      <c r="C605" s="57">
        <v>1</v>
      </c>
      <c r="D605" s="57">
        <v>1</v>
      </c>
      <c r="F605" s="57">
        <v>2.9390000000000001</v>
      </c>
      <c r="G605" s="57">
        <v>1.702</v>
      </c>
      <c r="H605" s="57">
        <v>0.30299999999999999</v>
      </c>
      <c r="I605" s="57">
        <v>0.17799999999999999</v>
      </c>
      <c r="J605" s="57">
        <v>7.15</v>
      </c>
      <c r="K605" s="33">
        <f>AVERAGE(1.81,1.74,1.88,1.88)</f>
        <v>1.8274999999999999</v>
      </c>
      <c r="L605" s="70">
        <v>44704</v>
      </c>
    </row>
    <row r="606" spans="1:12" x14ac:dyDescent="0.2">
      <c r="A606" s="57" t="s">
        <v>159</v>
      </c>
      <c r="B606" s="57">
        <v>2347</v>
      </c>
      <c r="C606" s="57">
        <v>1</v>
      </c>
      <c r="D606" s="57">
        <v>0</v>
      </c>
      <c r="F606" s="57">
        <v>0.82899999999999996</v>
      </c>
      <c r="G606" s="57">
        <v>0.38</v>
      </c>
      <c r="H606" s="57">
        <v>8.7999999999999995E-2</v>
      </c>
      <c r="I606" s="57">
        <v>0.04</v>
      </c>
      <c r="J606" s="57">
        <v>1.57</v>
      </c>
      <c r="K606" s="33">
        <f>AVERAGE(1.04,1.07,1.09,1.24)</f>
        <v>1.1100000000000001</v>
      </c>
      <c r="L606" s="70">
        <v>44704</v>
      </c>
    </row>
    <row r="607" spans="1:12" x14ac:dyDescent="0.2">
      <c r="A607" s="57" t="s">
        <v>159</v>
      </c>
      <c r="B607" s="57">
        <v>2011</v>
      </c>
      <c r="C607" s="57">
        <v>1</v>
      </c>
      <c r="D607" s="57">
        <v>0</v>
      </c>
      <c r="F607" s="57">
        <v>0.63600000000000001</v>
      </c>
      <c r="G607" s="57">
        <v>0.33600000000000002</v>
      </c>
      <c r="H607" s="57">
        <v>5.7000000000000002E-2</v>
      </c>
      <c r="I607" s="57">
        <v>2.9000000000000001E-2</v>
      </c>
      <c r="J607" s="57">
        <v>0.92</v>
      </c>
      <c r="K607" s="33">
        <f>AVERAGE(1.37,1.31,1.35,1.32)</f>
        <v>1.3375000000000001</v>
      </c>
      <c r="L607" s="70">
        <v>44704</v>
      </c>
    </row>
    <row r="608" spans="1:12" x14ac:dyDescent="0.2">
      <c r="A608" s="57" t="s">
        <v>59</v>
      </c>
      <c r="B608" s="57">
        <v>2331</v>
      </c>
      <c r="C608" s="57">
        <v>2</v>
      </c>
      <c r="D608" s="57">
        <v>1</v>
      </c>
      <c r="F608" s="57">
        <v>1.234</v>
      </c>
      <c r="G608" s="57">
        <v>0.73</v>
      </c>
      <c r="H608" s="57">
        <v>0.253</v>
      </c>
      <c r="I608" s="57">
        <v>0.14000000000000001</v>
      </c>
      <c r="J608" s="57">
        <v>5.14</v>
      </c>
      <c r="K608" s="33">
        <f>AVERAGE(1.73,1.8,1.7,1.73)</f>
        <v>1.7400000000000002</v>
      </c>
      <c r="L608" s="70">
        <v>44704</v>
      </c>
    </row>
    <row r="609" spans="1:12" x14ac:dyDescent="0.2">
      <c r="A609" s="57" t="s">
        <v>159</v>
      </c>
      <c r="B609" s="57">
        <v>2347</v>
      </c>
      <c r="C609" s="57">
        <v>2</v>
      </c>
      <c r="D609" s="57">
        <v>0</v>
      </c>
      <c r="F609" s="57">
        <v>0.439</v>
      </c>
      <c r="G609" s="57">
        <v>0.2</v>
      </c>
      <c r="H609" s="57">
        <v>2.8000000000000001E-2</v>
      </c>
      <c r="I609" s="57">
        <v>1.2999999999999999E-2</v>
      </c>
      <c r="J609" s="57">
        <v>0.74</v>
      </c>
      <c r="K609" s="33">
        <f>AVERAGE(0.91,0.95,1.02,1.04)</f>
        <v>0.98</v>
      </c>
      <c r="L609" s="70">
        <v>44704</v>
      </c>
    </row>
    <row r="610" spans="1:12" x14ac:dyDescent="0.2">
      <c r="A610" s="57" t="s">
        <v>159</v>
      </c>
      <c r="B610" s="57">
        <v>2379</v>
      </c>
      <c r="C610" s="57">
        <v>3</v>
      </c>
      <c r="D610" s="57">
        <v>0</v>
      </c>
      <c r="F610" s="57">
        <v>0.74399999999999999</v>
      </c>
      <c r="G610" s="57">
        <v>0.34499999999999997</v>
      </c>
      <c r="H610" s="57">
        <v>2.5999999999999999E-2</v>
      </c>
      <c r="I610" s="57">
        <v>1.2E-2</v>
      </c>
      <c r="J610" s="57">
        <v>0.77</v>
      </c>
      <c r="K610" s="33">
        <f>AVERAGE(1.4,1.48,1.38,1.25)</f>
        <v>1.3774999999999999</v>
      </c>
      <c r="L610" s="70">
        <v>44704</v>
      </c>
    </row>
    <row r="611" spans="1:12" x14ac:dyDescent="0.2">
      <c r="A611" s="57" t="s">
        <v>59</v>
      </c>
      <c r="B611" s="57">
        <v>2023</v>
      </c>
      <c r="C611" s="57">
        <v>2</v>
      </c>
      <c r="D611" s="57">
        <v>0</v>
      </c>
      <c r="F611" s="57">
        <v>1.8260000000000001</v>
      </c>
      <c r="G611" s="57">
        <v>0.95299999999999996</v>
      </c>
      <c r="H611" s="57">
        <v>0.23899999999999999</v>
      </c>
      <c r="I611" s="57">
        <v>0.11600000000000001</v>
      </c>
      <c r="J611" s="57">
        <v>3.15</v>
      </c>
      <c r="K611" s="33">
        <f>AVERAGE(1.63,1.66,1.67,1.73)</f>
        <v>1.6724999999999999</v>
      </c>
      <c r="L611" s="70">
        <v>44704</v>
      </c>
    </row>
    <row r="612" spans="1:12" x14ac:dyDescent="0.2">
      <c r="A612" s="57" t="s">
        <v>159</v>
      </c>
      <c r="B612" s="57">
        <v>2381</v>
      </c>
      <c r="C612" s="57">
        <v>1</v>
      </c>
      <c r="D612" s="57">
        <v>0</v>
      </c>
      <c r="F612" s="57">
        <v>0.94499999999999995</v>
      </c>
      <c r="G612" s="57">
        <v>0.45500000000000002</v>
      </c>
      <c r="H612" s="57">
        <v>7.6999999999999999E-2</v>
      </c>
      <c r="I612" s="57">
        <v>3.6999999999999998E-2</v>
      </c>
      <c r="J612" s="57">
        <v>1.07</v>
      </c>
      <c r="K612" s="33">
        <f>AVERAGE(1.35,1.25,1.22,1.3)</f>
        <v>1.28</v>
      </c>
      <c r="L612" s="70">
        <v>44704</v>
      </c>
    </row>
    <row r="613" spans="1:12" x14ac:dyDescent="0.2">
      <c r="A613" s="57" t="s">
        <v>59</v>
      </c>
      <c r="B613" s="57">
        <v>2380</v>
      </c>
      <c r="C613" s="57">
        <v>3</v>
      </c>
      <c r="D613" s="57">
        <v>1</v>
      </c>
      <c r="F613" s="57">
        <v>1.3160000000000001</v>
      </c>
      <c r="G613" s="57">
        <v>0.78500000000000003</v>
      </c>
      <c r="H613" s="57">
        <v>0.44</v>
      </c>
      <c r="I613" s="57">
        <v>0.24299999999999999</v>
      </c>
      <c r="J613" s="57">
        <v>6.57</v>
      </c>
      <c r="K613" s="33">
        <f>AVERAGE(1.81,1.79,1.76,1.79)</f>
        <v>1.7875000000000001</v>
      </c>
      <c r="L613" s="70">
        <v>44704</v>
      </c>
    </row>
    <row r="614" spans="1:12" x14ac:dyDescent="0.2">
      <c r="A614" s="57" t="s">
        <v>159</v>
      </c>
      <c r="B614" s="57">
        <v>2024</v>
      </c>
      <c r="C614" s="57">
        <v>2</v>
      </c>
      <c r="D614" s="57">
        <v>0</v>
      </c>
      <c r="F614" s="57">
        <v>1.431</v>
      </c>
      <c r="G614" s="57">
        <v>0.66800000000000004</v>
      </c>
      <c r="H614" s="57">
        <v>0.245</v>
      </c>
      <c r="I614" s="57">
        <v>0.115</v>
      </c>
      <c r="J614" s="57">
        <v>2.67</v>
      </c>
      <c r="K614" s="33">
        <f>AVERAGE(1.85,1.89,1.9,2.01)</f>
        <v>1.9125000000000001</v>
      </c>
      <c r="L614" s="70">
        <v>44704</v>
      </c>
    </row>
    <row r="615" spans="1:12" x14ac:dyDescent="0.2">
      <c r="A615" s="57" t="s">
        <v>59</v>
      </c>
      <c r="B615" s="57">
        <v>2352</v>
      </c>
      <c r="C615" s="57">
        <v>3</v>
      </c>
      <c r="D615" s="57">
        <v>1</v>
      </c>
      <c r="F615" s="57">
        <v>1.7470000000000001</v>
      </c>
      <c r="G615" s="57">
        <v>1.1000000000000001</v>
      </c>
      <c r="H615" s="57">
        <v>0.73499999999999999</v>
      </c>
      <c r="I615" s="57">
        <v>0.45200000000000001</v>
      </c>
      <c r="J615" s="57">
        <v>15.7</v>
      </c>
      <c r="K615" s="33">
        <f>AVERAGE(2.19,2.04,2.09,2)</f>
        <v>2.08</v>
      </c>
      <c r="L615" s="70">
        <v>44704</v>
      </c>
    </row>
    <row r="616" spans="1:12" x14ac:dyDescent="0.2">
      <c r="A616" s="57" t="s">
        <v>59</v>
      </c>
      <c r="B616" s="57">
        <v>2331</v>
      </c>
      <c r="C616" s="57">
        <v>2</v>
      </c>
      <c r="D616" s="57">
        <v>0</v>
      </c>
      <c r="F616" s="57">
        <v>0.42899999999999999</v>
      </c>
      <c r="G616" s="57">
        <v>0.23</v>
      </c>
      <c r="H616" s="57">
        <v>6.5000000000000002E-2</v>
      </c>
      <c r="I616" s="57">
        <v>3.1E-2</v>
      </c>
      <c r="J616" s="57">
        <v>2.19</v>
      </c>
      <c r="K616" s="33">
        <f>AVERAGE(1.09,1.07,1.1,1.08)</f>
        <v>1.085</v>
      </c>
      <c r="L616" s="70">
        <v>44704</v>
      </c>
    </row>
    <row r="617" spans="1:12" x14ac:dyDescent="0.2">
      <c r="A617" s="57" t="s">
        <v>159</v>
      </c>
      <c r="B617" s="57">
        <v>2375</v>
      </c>
      <c r="C617" s="57">
        <v>2</v>
      </c>
      <c r="D617" s="57">
        <v>0</v>
      </c>
      <c r="F617" s="57">
        <v>0.96199999999999997</v>
      </c>
      <c r="G617" s="57">
        <v>0.46400000000000002</v>
      </c>
      <c r="H617" s="57">
        <v>0.13500000000000001</v>
      </c>
      <c r="I617" s="57">
        <v>6.4000000000000001E-2</v>
      </c>
      <c r="J617" s="57">
        <v>1.86</v>
      </c>
      <c r="K617" s="33">
        <f>AVERAGE(1.54,1.56,1.58,1.49)</f>
        <v>1.5425</v>
      </c>
      <c r="L617" s="70">
        <v>44704</v>
      </c>
    </row>
    <row r="618" spans="1:12" x14ac:dyDescent="0.2">
      <c r="A618" s="57" t="s">
        <v>159</v>
      </c>
      <c r="B618" s="57">
        <v>2379</v>
      </c>
      <c r="C618" s="57">
        <v>2</v>
      </c>
      <c r="D618" s="57">
        <v>0</v>
      </c>
      <c r="F618" s="57">
        <v>0.39100000000000001</v>
      </c>
      <c r="G618" s="57">
        <v>0.184</v>
      </c>
      <c r="H618" s="57">
        <v>2.7E-2</v>
      </c>
      <c r="I618" s="57">
        <v>1.2999999999999999E-2</v>
      </c>
      <c r="J618" s="57">
        <v>0.89</v>
      </c>
      <c r="K618" s="33">
        <f>AVERAGE(1.24,1.25,1.26,1.32)</f>
        <v>1.2675000000000001</v>
      </c>
      <c r="L618" s="70">
        <v>44704</v>
      </c>
    </row>
    <row r="619" spans="1:12" x14ac:dyDescent="0.2">
      <c r="A619" s="57" t="s">
        <v>159</v>
      </c>
      <c r="B619" s="57">
        <v>2370</v>
      </c>
      <c r="C619" s="57">
        <v>1</v>
      </c>
      <c r="D619" s="57">
        <v>0</v>
      </c>
      <c r="F619" s="57">
        <v>0.49099999999999999</v>
      </c>
      <c r="G619" s="57">
        <v>0.245</v>
      </c>
      <c r="H619" s="57">
        <v>6.9000000000000006E-2</v>
      </c>
      <c r="I619" s="57">
        <v>3.2000000000000001E-2</v>
      </c>
      <c r="J619" s="57">
        <v>1.41</v>
      </c>
      <c r="K619" s="33">
        <f>AVERAGE(0.8,0.85,0.95,0.87)</f>
        <v>0.86749999999999994</v>
      </c>
      <c r="L619" s="70">
        <v>44704</v>
      </c>
    </row>
    <row r="620" spans="1:12" x14ac:dyDescent="0.2">
      <c r="A620" s="57" t="s">
        <v>59</v>
      </c>
      <c r="B620" s="57">
        <v>2380</v>
      </c>
      <c r="C620" s="57">
        <v>2</v>
      </c>
      <c r="D620" s="57">
        <v>1</v>
      </c>
      <c r="F620" s="57">
        <v>1.7290000000000001</v>
      </c>
      <c r="G620" s="57">
        <v>1.0069999999999999</v>
      </c>
      <c r="H620" s="57">
        <v>0.40899999999999997</v>
      </c>
      <c r="I620" s="57">
        <v>0.22600000000000001</v>
      </c>
      <c r="J620" s="57">
        <v>6.9</v>
      </c>
      <c r="K620" s="33">
        <f>AVERAGE(1.55,1.44,1.95,1.49)</f>
        <v>1.6075000000000002</v>
      </c>
      <c r="L620" s="70">
        <v>44704</v>
      </c>
    </row>
    <row r="621" spans="1:12" x14ac:dyDescent="0.2">
      <c r="A621" s="57" t="s">
        <v>159</v>
      </c>
      <c r="B621" s="57">
        <v>2369</v>
      </c>
      <c r="C621" s="57">
        <v>3</v>
      </c>
      <c r="D621" s="57">
        <v>0</v>
      </c>
      <c r="F621" s="57">
        <v>0.441</v>
      </c>
      <c r="G621" s="57">
        <v>0.24399999999999999</v>
      </c>
      <c r="H621" s="57">
        <v>3.1E-2</v>
      </c>
      <c r="I621" s="57">
        <v>1.7999999999999999E-2</v>
      </c>
      <c r="J621" s="57">
        <v>1.17</v>
      </c>
      <c r="K621" s="33">
        <f>AVERAGE(1.6,1.03,0.86,0.93)</f>
        <v>1.105</v>
      </c>
      <c r="L621" s="70">
        <v>44704</v>
      </c>
    </row>
    <row r="622" spans="1:12" x14ac:dyDescent="0.2">
      <c r="A622" s="57" t="s">
        <v>159</v>
      </c>
      <c r="B622" s="57">
        <v>2378</v>
      </c>
      <c r="C622" s="57">
        <v>2</v>
      </c>
      <c r="D622" s="57">
        <v>0</v>
      </c>
      <c r="F622" s="57">
        <v>0.81</v>
      </c>
      <c r="G622" s="57">
        <v>0.38200000000000001</v>
      </c>
      <c r="H622" s="57">
        <v>0.32700000000000001</v>
      </c>
      <c r="I622" s="57">
        <v>0.15</v>
      </c>
      <c r="J622" s="57">
        <v>5.89</v>
      </c>
      <c r="K622" s="33">
        <f>AVERAGE(1.75,1.65,1.77,1.53)</f>
        <v>1.675</v>
      </c>
      <c r="L622" s="70">
        <v>44704</v>
      </c>
    </row>
    <row r="623" spans="1:12" x14ac:dyDescent="0.2">
      <c r="A623" s="57" t="s">
        <v>159</v>
      </c>
      <c r="B623" s="57">
        <v>2371</v>
      </c>
      <c r="C623" s="57">
        <v>2</v>
      </c>
      <c r="D623" s="57">
        <v>0</v>
      </c>
      <c r="F623" s="57">
        <v>0.63300000000000001</v>
      </c>
      <c r="G623" s="57">
        <v>0.29399999999999998</v>
      </c>
      <c r="H623" s="57">
        <v>5.0999999999999997E-2</v>
      </c>
      <c r="I623" s="57">
        <v>2.3E-2</v>
      </c>
      <c r="J623" s="57">
        <v>1.05</v>
      </c>
      <c r="K623" s="33">
        <f>AVERAGE(1.22,1.27,1.29,1.1)</f>
        <v>1.2200000000000002</v>
      </c>
      <c r="L623" s="70">
        <v>44704</v>
      </c>
    </row>
    <row r="624" spans="1:12" x14ac:dyDescent="0.2">
      <c r="A624" s="57" t="s">
        <v>159</v>
      </c>
      <c r="B624" s="57">
        <v>2025</v>
      </c>
      <c r="C624" s="57">
        <v>1</v>
      </c>
      <c r="D624" s="57">
        <v>0</v>
      </c>
      <c r="F624" s="57">
        <v>0.72599999999999998</v>
      </c>
      <c r="G624" s="57">
        <v>0.378</v>
      </c>
      <c r="H624" s="57">
        <v>0.111</v>
      </c>
      <c r="I624" s="57">
        <v>5.8999999999999997E-2</v>
      </c>
      <c r="J624" s="57">
        <v>2.4</v>
      </c>
      <c r="K624" s="33">
        <f>AVERAGE(1.29,1.31,1.34,1.37)</f>
        <v>1.3275000000000001</v>
      </c>
      <c r="L624" s="70">
        <v>44704</v>
      </c>
    </row>
    <row r="625" spans="1:12" x14ac:dyDescent="0.2">
      <c r="A625" s="57" t="s">
        <v>159</v>
      </c>
      <c r="B625" s="57">
        <v>2381</v>
      </c>
      <c r="C625" s="57">
        <v>2</v>
      </c>
      <c r="D625" s="57">
        <v>0</v>
      </c>
      <c r="F625" s="57">
        <v>0.82</v>
      </c>
      <c r="G625" s="57">
        <v>0.39100000000000001</v>
      </c>
      <c r="H625" s="57">
        <v>9.4E-2</v>
      </c>
      <c r="I625" s="57">
        <v>4.4999999999999998E-2</v>
      </c>
      <c r="J625" s="57">
        <v>1.1100000000000001</v>
      </c>
      <c r="K625" s="33">
        <f>AVERAGE(1.29,1.39,1.25,1.25)</f>
        <v>1.2949999999999999</v>
      </c>
      <c r="L625" s="70">
        <v>44704</v>
      </c>
    </row>
    <row r="626" spans="1:12" x14ac:dyDescent="0.2">
      <c r="A626" s="57" t="s">
        <v>159</v>
      </c>
      <c r="B626" s="57">
        <v>2009</v>
      </c>
      <c r="C626" s="57">
        <v>1</v>
      </c>
      <c r="D626" s="57">
        <v>0</v>
      </c>
      <c r="F626" s="57">
        <v>0.79800000000000004</v>
      </c>
      <c r="G626" s="57">
        <v>0.36299999999999999</v>
      </c>
      <c r="H626" s="57">
        <v>6.2E-2</v>
      </c>
      <c r="I626" s="57">
        <v>2.7E-2</v>
      </c>
      <c r="J626" s="57">
        <v>1.01</v>
      </c>
      <c r="K626" s="33">
        <f>AVERAGE(1.25,1.15,1.03,1.13)</f>
        <v>1.1399999999999999</v>
      </c>
      <c r="L626" s="70">
        <v>44704</v>
      </c>
    </row>
    <row r="627" spans="1:12" x14ac:dyDescent="0.2">
      <c r="A627" s="57" t="s">
        <v>159</v>
      </c>
      <c r="B627" s="57">
        <v>2347</v>
      </c>
      <c r="C627" s="57">
        <v>3</v>
      </c>
      <c r="D627" s="57">
        <v>0</v>
      </c>
      <c r="F627" s="57">
        <v>0.55700000000000005</v>
      </c>
      <c r="G627" s="57">
        <v>0.254</v>
      </c>
      <c r="H627" s="57">
        <v>4.3999999999999997E-2</v>
      </c>
      <c r="I627" s="57">
        <v>1.9E-2</v>
      </c>
      <c r="J627" s="57">
        <v>0.82</v>
      </c>
      <c r="K627" s="33">
        <f>AVERAGE(0.83,0.84,0.85,0.84)</f>
        <v>0.84</v>
      </c>
      <c r="L627" s="70">
        <v>44704</v>
      </c>
    </row>
    <row r="628" spans="1:12" x14ac:dyDescent="0.2">
      <c r="A628" s="57" t="s">
        <v>159</v>
      </c>
      <c r="B628" s="57">
        <v>2346</v>
      </c>
      <c r="C628" s="57">
        <v>1</v>
      </c>
      <c r="D628" s="57">
        <v>0</v>
      </c>
      <c r="F628" s="57">
        <v>0.30499999999999999</v>
      </c>
      <c r="G628" s="57">
        <v>0.155</v>
      </c>
      <c r="H628" s="57">
        <v>3.7999999999999999E-2</v>
      </c>
      <c r="I628" s="57">
        <v>1.7000000000000001E-2</v>
      </c>
      <c r="J628" s="57">
        <v>0.9</v>
      </c>
      <c r="K628" s="33">
        <f>AVERAGE(0.9,0.97,0.87,0.81)</f>
        <v>0.88750000000000007</v>
      </c>
      <c r="L628" s="70">
        <v>44704</v>
      </c>
    </row>
    <row r="629" spans="1:12" x14ac:dyDescent="0.2">
      <c r="A629" s="57" t="s">
        <v>59</v>
      </c>
      <c r="B629" s="57">
        <v>2301</v>
      </c>
      <c r="C629" s="57">
        <v>3</v>
      </c>
      <c r="D629" s="57">
        <v>1</v>
      </c>
      <c r="F629" s="57">
        <v>2.742</v>
      </c>
      <c r="G629" s="57">
        <v>1.5820000000000001</v>
      </c>
      <c r="H629" s="57">
        <v>0.38</v>
      </c>
      <c r="I629" s="57">
        <v>0.217</v>
      </c>
      <c r="J629" s="57">
        <v>7.84</v>
      </c>
      <c r="K629" s="33">
        <f>AVERAGE(1.7,1.71,1.63,1.8)</f>
        <v>1.71</v>
      </c>
      <c r="L629" s="70">
        <v>44704</v>
      </c>
    </row>
    <row r="630" spans="1:12" x14ac:dyDescent="0.2">
      <c r="A630" s="57" t="s">
        <v>59</v>
      </c>
      <c r="B630" s="57">
        <v>2331</v>
      </c>
      <c r="C630" s="57">
        <v>3</v>
      </c>
      <c r="D630" s="57">
        <v>1</v>
      </c>
      <c r="F630" s="57">
        <v>1.548</v>
      </c>
      <c r="G630" s="57">
        <v>0.92</v>
      </c>
      <c r="H630" s="57">
        <v>0.46600000000000003</v>
      </c>
      <c r="I630" s="57">
        <v>0.25700000000000001</v>
      </c>
      <c r="J630" s="57">
        <v>7.75</v>
      </c>
      <c r="K630" s="33">
        <f>AVERAGE(2.28,2.28,2.23,2.29)</f>
        <v>2.2699999999999996</v>
      </c>
      <c r="L630" s="70">
        <v>44704</v>
      </c>
    </row>
    <row r="631" spans="1:12" x14ac:dyDescent="0.2">
      <c r="A631" s="57" t="s">
        <v>159</v>
      </c>
      <c r="B631" s="57">
        <v>2379</v>
      </c>
      <c r="C631" s="57">
        <v>1</v>
      </c>
      <c r="D631" s="57">
        <v>0</v>
      </c>
      <c r="F631" s="57">
        <v>0.86599999999999999</v>
      </c>
      <c r="G631" s="57">
        <v>0.4</v>
      </c>
      <c r="H631" s="57">
        <v>5.7000000000000002E-2</v>
      </c>
      <c r="I631" s="57">
        <v>2.5999999999999999E-2</v>
      </c>
      <c r="J631" s="57">
        <v>1.1200000000000001</v>
      </c>
      <c r="K631" s="33">
        <f>AVERAGE(1.43,1.4,1.51,1.4)</f>
        <v>1.4350000000000001</v>
      </c>
      <c r="L631" s="70">
        <v>44704</v>
      </c>
    </row>
    <row r="632" spans="1:12" x14ac:dyDescent="0.2">
      <c r="A632" s="57" t="s">
        <v>159</v>
      </c>
      <c r="B632" s="57">
        <v>2381</v>
      </c>
      <c r="C632" s="57">
        <v>3</v>
      </c>
      <c r="D632" s="57">
        <v>0</v>
      </c>
      <c r="F632" s="57">
        <v>0.95099999999999996</v>
      </c>
      <c r="G632" s="57">
        <v>0.47099999999999997</v>
      </c>
      <c r="H632" s="57">
        <v>5.8999999999999997E-2</v>
      </c>
      <c r="I632" s="57">
        <v>2.9000000000000001E-2</v>
      </c>
      <c r="J632" s="57">
        <v>0.8</v>
      </c>
      <c r="K632" s="33">
        <f>AVERAGE(1.42,1.44,1.58,1.58)</f>
        <v>1.5049999999999999</v>
      </c>
      <c r="L632" s="70">
        <v>44704</v>
      </c>
    </row>
    <row r="633" spans="1:12" x14ac:dyDescent="0.2">
      <c r="A633" s="57" t="s">
        <v>159</v>
      </c>
      <c r="B633" s="57">
        <v>2372</v>
      </c>
      <c r="C633" s="57">
        <v>1</v>
      </c>
      <c r="D633" s="57">
        <v>0</v>
      </c>
      <c r="F633" s="57">
        <v>0.95799999999999996</v>
      </c>
      <c r="G633" s="57">
        <v>0.47299999999999998</v>
      </c>
      <c r="H633" s="57">
        <v>0.11799999999999999</v>
      </c>
      <c r="I633" s="57">
        <v>5.3999999999999999E-2</v>
      </c>
      <c r="J633" s="57">
        <v>1.93</v>
      </c>
      <c r="K633" s="33">
        <f>AVERAGE(1.4,1.49,1.28,1.31)</f>
        <v>1.37</v>
      </c>
      <c r="L633" s="70">
        <v>44704</v>
      </c>
    </row>
    <row r="634" spans="1:12" x14ac:dyDescent="0.2">
      <c r="A634" s="57" t="s">
        <v>159</v>
      </c>
      <c r="B634" s="57">
        <v>2382</v>
      </c>
      <c r="C634" s="57">
        <v>3</v>
      </c>
      <c r="D634" s="57">
        <v>0</v>
      </c>
      <c r="F634" s="57">
        <v>0.85099999999999998</v>
      </c>
      <c r="G634" s="57">
        <v>0.438</v>
      </c>
      <c r="H634" s="57">
        <v>5.7000000000000002E-2</v>
      </c>
      <c r="I634" s="57">
        <v>2.9000000000000001E-2</v>
      </c>
      <c r="J634" s="57">
        <v>1.3</v>
      </c>
      <c r="K634" s="33">
        <f>AVERAGE(1.4,1.38,1.39,1.39)</f>
        <v>1.39</v>
      </c>
      <c r="L634" s="70">
        <v>44704</v>
      </c>
    </row>
    <row r="635" spans="1:12" x14ac:dyDescent="0.2">
      <c r="A635" s="57" t="s">
        <v>159</v>
      </c>
      <c r="B635" s="57">
        <v>2011</v>
      </c>
      <c r="C635" s="57">
        <v>3</v>
      </c>
      <c r="D635" s="57">
        <v>0</v>
      </c>
      <c r="F635" s="57">
        <v>0.56000000000000005</v>
      </c>
      <c r="G635" s="57">
        <v>0.29899999999999999</v>
      </c>
      <c r="H635" s="57">
        <v>5.1999999999999998E-2</v>
      </c>
      <c r="I635" s="57">
        <v>2.7E-2</v>
      </c>
      <c r="J635" s="57">
        <v>0.96</v>
      </c>
      <c r="K635" s="33">
        <f>AVERAGE(1.07,1.09,0.99,1.27)</f>
        <v>1.105</v>
      </c>
      <c r="L635" s="70">
        <v>44704</v>
      </c>
    </row>
    <row r="636" spans="1:12" x14ac:dyDescent="0.2">
      <c r="A636" s="57" t="s">
        <v>159</v>
      </c>
      <c r="B636" s="57">
        <v>2011</v>
      </c>
      <c r="C636" s="57">
        <v>2</v>
      </c>
      <c r="D636" s="57">
        <v>0</v>
      </c>
      <c r="F636" s="57">
        <v>0.44500000000000001</v>
      </c>
      <c r="G636" s="57">
        <v>0.23499999999999999</v>
      </c>
      <c r="H636" s="57">
        <v>3.6999999999999998E-2</v>
      </c>
      <c r="I636" s="57">
        <v>1.9E-2</v>
      </c>
      <c r="J636" s="57">
        <v>0.8</v>
      </c>
      <c r="K636" s="33">
        <f>AVERAGE(1.02,1.06,0.96,0.99)</f>
        <v>1.0075000000000001</v>
      </c>
      <c r="L636" s="70">
        <v>44704</v>
      </c>
    </row>
    <row r="637" spans="1:12" x14ac:dyDescent="0.2">
      <c r="A637" s="57" t="s">
        <v>159</v>
      </c>
      <c r="B637" s="57">
        <v>2020</v>
      </c>
      <c r="C637" s="57">
        <v>2</v>
      </c>
      <c r="D637" s="57">
        <v>0</v>
      </c>
      <c r="F637" s="57">
        <v>0.63990000000000002</v>
      </c>
      <c r="G637" s="57">
        <v>0.311</v>
      </c>
      <c r="H637" s="57">
        <v>5.0999999999999997E-2</v>
      </c>
      <c r="I637" s="57">
        <v>2.4E-2</v>
      </c>
      <c r="J637" s="57">
        <v>1.05</v>
      </c>
      <c r="K637" s="33">
        <f>AVERAGE(1.02,1.09,1.09,1.13)</f>
        <v>1.0825</v>
      </c>
      <c r="L637" s="70">
        <v>44704</v>
      </c>
    </row>
    <row r="638" spans="1:12" x14ac:dyDescent="0.2">
      <c r="A638" s="57" t="s">
        <v>159</v>
      </c>
      <c r="B638" s="57">
        <v>2024</v>
      </c>
      <c r="C638" s="57">
        <v>1</v>
      </c>
      <c r="D638" s="57">
        <v>0</v>
      </c>
      <c r="F638" s="57">
        <v>1.272</v>
      </c>
      <c r="G638" s="57">
        <v>0.58299999999999996</v>
      </c>
      <c r="H638" s="57">
        <v>0.187</v>
      </c>
      <c r="I638" s="57">
        <v>8.5999999999999993E-2</v>
      </c>
      <c r="J638" s="57">
        <v>2.11</v>
      </c>
      <c r="K638" s="33">
        <f>AVERAGE(1.75,1.6,1.91,1.84)</f>
        <v>1.7749999999999999</v>
      </c>
      <c r="L638" s="70">
        <v>44704</v>
      </c>
    </row>
    <row r="639" spans="1:12" x14ac:dyDescent="0.2">
      <c r="A639" s="57" t="s">
        <v>159</v>
      </c>
      <c r="B639" s="57">
        <v>2372</v>
      </c>
      <c r="C639" s="57">
        <v>3</v>
      </c>
      <c r="D639" s="57">
        <v>0</v>
      </c>
      <c r="F639" s="57">
        <v>0.78200000000000003</v>
      </c>
      <c r="G639" s="57">
        <v>0.38800000000000001</v>
      </c>
      <c r="H639" s="57">
        <v>0.09</v>
      </c>
      <c r="I639" s="57">
        <v>0.04</v>
      </c>
      <c r="J639" s="57">
        <v>1.28</v>
      </c>
      <c r="K639" s="33">
        <f>AVERAGE(1.27,1.09,1.22,1.32)</f>
        <v>1.2250000000000001</v>
      </c>
      <c r="L639" s="70">
        <v>44704</v>
      </c>
    </row>
    <row r="640" spans="1:12" x14ac:dyDescent="0.2">
      <c r="A640" s="57" t="s">
        <v>159</v>
      </c>
      <c r="B640" s="57">
        <v>2372</v>
      </c>
      <c r="C640" s="57">
        <v>2</v>
      </c>
      <c r="D640" s="57">
        <v>0</v>
      </c>
      <c r="F640" s="57">
        <v>1.2689999999999999</v>
      </c>
      <c r="G640" s="57">
        <v>0.622</v>
      </c>
      <c r="H640" s="57">
        <v>0.122</v>
      </c>
      <c r="I640" s="57">
        <v>5.3999999999999999E-2</v>
      </c>
      <c r="J640" s="57">
        <v>1.51</v>
      </c>
      <c r="K640" s="33">
        <f>AVERAGE(1.56,1.66,1.64,1.66)</f>
        <v>1.63</v>
      </c>
      <c r="L640" s="70">
        <v>44704</v>
      </c>
    </row>
    <row r="641" spans="1:12" x14ac:dyDescent="0.2">
      <c r="A641" s="57" t="s">
        <v>159</v>
      </c>
      <c r="B641" s="57">
        <v>2025</v>
      </c>
      <c r="C641" s="57">
        <v>3</v>
      </c>
      <c r="D641" s="57">
        <v>0</v>
      </c>
      <c r="F641" s="57">
        <v>0.63</v>
      </c>
      <c r="G641" s="57">
        <v>0.32400000000000001</v>
      </c>
      <c r="H641" s="57">
        <v>0.13700000000000001</v>
      </c>
      <c r="I641" s="57">
        <v>7.2999999999999995E-2</v>
      </c>
      <c r="J641" s="57">
        <v>3.94</v>
      </c>
      <c r="K641" s="33">
        <f>AVERAGE(1.29,1.33,1.37,1.29)</f>
        <v>1.32</v>
      </c>
      <c r="L641" s="70">
        <v>44704</v>
      </c>
    </row>
    <row r="642" spans="1:12" x14ac:dyDescent="0.2">
      <c r="A642" s="57" t="s">
        <v>159</v>
      </c>
      <c r="B642" s="57">
        <v>2370</v>
      </c>
      <c r="C642" s="57">
        <v>3</v>
      </c>
      <c r="D642" s="57">
        <v>0</v>
      </c>
      <c r="F642" s="57">
        <v>0.49299999999999999</v>
      </c>
      <c r="G642" s="57">
        <v>0.246</v>
      </c>
      <c r="H642" s="57">
        <v>6.7000000000000004E-2</v>
      </c>
      <c r="I642" s="57">
        <v>3.2000000000000001E-2</v>
      </c>
      <c r="J642" s="57">
        <v>1.45</v>
      </c>
      <c r="K642" s="33">
        <f>AVERAGE(1.04,1.09,0.96,0.86)</f>
        <v>0.98749999999999993</v>
      </c>
      <c r="L642" s="70">
        <v>44704</v>
      </c>
    </row>
    <row r="643" spans="1:12" x14ac:dyDescent="0.2">
      <c r="A643" s="57" t="s">
        <v>59</v>
      </c>
      <c r="B643" s="57">
        <v>2023</v>
      </c>
      <c r="C643" s="57">
        <v>1</v>
      </c>
      <c r="D643" s="57">
        <v>0</v>
      </c>
      <c r="F643" s="57">
        <v>2.613</v>
      </c>
      <c r="G643" s="57">
        <v>1.3859999999999999</v>
      </c>
      <c r="H643" s="57">
        <v>0.221</v>
      </c>
      <c r="I643" s="57">
        <v>0.11600000000000001</v>
      </c>
      <c r="J643" s="57">
        <v>4.34</v>
      </c>
      <c r="K643" s="33">
        <f>AVERAGE(1.5,1.63,1.67,1.57)</f>
        <v>1.5925</v>
      </c>
      <c r="L643" s="70">
        <v>44704</v>
      </c>
    </row>
    <row r="644" spans="1:12" x14ac:dyDescent="0.2">
      <c r="A644" s="57" t="s">
        <v>159</v>
      </c>
      <c r="B644" s="57">
        <v>2010</v>
      </c>
      <c r="C644" s="57">
        <v>1</v>
      </c>
      <c r="D644" s="57">
        <v>0</v>
      </c>
      <c r="F644" s="57">
        <v>0.89500000000000002</v>
      </c>
      <c r="G644" s="57">
        <v>0.45500000000000002</v>
      </c>
      <c r="H644" s="57">
        <v>0.158</v>
      </c>
      <c r="I644" s="57">
        <v>7.5999999999999998E-2</v>
      </c>
      <c r="J644" s="57">
        <v>1.94</v>
      </c>
      <c r="K644" s="33">
        <f>AVERAGE(1.83,1.74,1.53,1.83)</f>
        <v>1.7325000000000002</v>
      </c>
      <c r="L644" s="70">
        <v>44704</v>
      </c>
    </row>
    <row r="645" spans="1:12" x14ac:dyDescent="0.2">
      <c r="A645" s="57" t="s">
        <v>159</v>
      </c>
      <c r="B645" s="57">
        <v>2382</v>
      </c>
      <c r="C645" s="57">
        <v>2</v>
      </c>
      <c r="D645" s="57">
        <v>0</v>
      </c>
      <c r="F645" s="57">
        <v>1.0620000000000001</v>
      </c>
      <c r="G645" s="57">
        <v>0.53800000000000003</v>
      </c>
      <c r="H645" s="57">
        <v>0.114</v>
      </c>
      <c r="I645" s="57">
        <v>5.8999999999999997E-2</v>
      </c>
      <c r="J645" s="57">
        <v>2.2000000000000002</v>
      </c>
      <c r="K645" s="33">
        <f>AVERAGE(1.53,1.41,1.3,1.64)</f>
        <v>1.47</v>
      </c>
      <c r="L645" s="70">
        <v>44704</v>
      </c>
    </row>
    <row r="646" spans="1:12" x14ac:dyDescent="0.2">
      <c r="A646" s="57" t="s">
        <v>59</v>
      </c>
      <c r="B646" s="57">
        <v>2331</v>
      </c>
      <c r="C646" s="57">
        <v>1</v>
      </c>
      <c r="D646" s="57">
        <v>1</v>
      </c>
      <c r="F646" s="57">
        <v>0.47899999999999998</v>
      </c>
      <c r="G646" s="57">
        <v>0.28799999999999998</v>
      </c>
      <c r="H646" s="57">
        <v>0.14199999999999999</v>
      </c>
      <c r="I646" s="57">
        <v>7.8E-2</v>
      </c>
      <c r="J646" s="57">
        <v>4.01</v>
      </c>
      <c r="K646" s="33">
        <f>AVERAGE(1.44,1.39,1.57,1.49)</f>
        <v>1.4725000000000001</v>
      </c>
      <c r="L646" s="70">
        <v>44704</v>
      </c>
    </row>
    <row r="647" spans="1:12" x14ac:dyDescent="0.2">
      <c r="A647" s="57" t="s">
        <v>59</v>
      </c>
      <c r="B647" s="57">
        <v>2023</v>
      </c>
      <c r="C647" s="57">
        <v>2</v>
      </c>
      <c r="D647" s="57">
        <v>1</v>
      </c>
      <c r="F647" s="57">
        <v>0.88100000000000001</v>
      </c>
      <c r="G647" s="57">
        <v>0.51200000000000001</v>
      </c>
      <c r="H647" s="57">
        <v>0.18959999999999999</v>
      </c>
      <c r="I647" s="57">
        <v>0.10100000000000001</v>
      </c>
      <c r="J647" s="57">
        <v>3.54</v>
      </c>
      <c r="K647" s="33">
        <f>AVERAGE(1.65,1.69,1.73,1.76)</f>
        <v>1.7075</v>
      </c>
      <c r="L647" s="70">
        <v>44704</v>
      </c>
    </row>
    <row r="648" spans="1:12" x14ac:dyDescent="0.2">
      <c r="A648" s="57" t="s">
        <v>159</v>
      </c>
      <c r="B648" s="57">
        <v>2375</v>
      </c>
      <c r="C648" s="57">
        <v>3</v>
      </c>
      <c r="D648" s="57">
        <v>0</v>
      </c>
      <c r="F648" s="57">
        <v>0.53400000000000003</v>
      </c>
      <c r="G648" s="57">
        <v>0.25700000000000001</v>
      </c>
      <c r="H648" s="57">
        <v>9.0999999999999998E-2</v>
      </c>
      <c r="I648" s="57">
        <v>4.2000000000000003E-2</v>
      </c>
      <c r="J648" s="57">
        <v>1.86</v>
      </c>
      <c r="K648" s="33">
        <f>AVERAGE(1.17,1.19,1.2,1.22)</f>
        <v>1.1949999999999998</v>
      </c>
      <c r="L648" s="70">
        <v>44704</v>
      </c>
    </row>
    <row r="649" spans="1:12" x14ac:dyDescent="0.2">
      <c r="A649" s="57" t="s">
        <v>59</v>
      </c>
      <c r="B649" s="57">
        <v>2023</v>
      </c>
      <c r="C649" s="57">
        <v>3</v>
      </c>
      <c r="D649" s="57">
        <v>0</v>
      </c>
      <c r="F649" s="57">
        <v>0.72099999999999997</v>
      </c>
      <c r="G649" s="57">
        <v>0.38900000000000001</v>
      </c>
      <c r="H649" s="57">
        <v>0.126</v>
      </c>
      <c r="I649" s="57">
        <v>6.7000000000000004E-2</v>
      </c>
      <c r="J649" s="57">
        <v>3.27</v>
      </c>
      <c r="K649" s="33">
        <f>AVERAGE(1.55,1.21,1.09,1.45)</f>
        <v>1.325</v>
      </c>
      <c r="L649" s="70">
        <v>44704</v>
      </c>
    </row>
    <row r="650" spans="1:12" x14ac:dyDescent="0.2">
      <c r="A650" s="57" t="s">
        <v>159</v>
      </c>
      <c r="B650" s="57">
        <v>2009</v>
      </c>
      <c r="C650" s="57">
        <v>3</v>
      </c>
      <c r="D650" s="57">
        <v>0</v>
      </c>
      <c r="F650" s="57">
        <v>0.42599999999999999</v>
      </c>
      <c r="G650" s="57">
        <v>0.19500000000000001</v>
      </c>
      <c r="H650" s="57">
        <v>0.06</v>
      </c>
      <c r="I650" s="57">
        <v>2.5000000000000001E-2</v>
      </c>
      <c r="J650" s="57">
        <v>1.1499999999999999</v>
      </c>
      <c r="K650" s="33">
        <f>AVERAGE(1.24,1.25,1.3,1.3)</f>
        <v>1.2725</v>
      </c>
      <c r="L650" s="70">
        <v>44704</v>
      </c>
    </row>
    <row r="651" spans="1:12" x14ac:dyDescent="0.2">
      <c r="A651" s="57" t="s">
        <v>159</v>
      </c>
      <c r="B651" s="57">
        <v>2371</v>
      </c>
      <c r="C651" s="57">
        <v>3</v>
      </c>
      <c r="D651" s="57">
        <v>0</v>
      </c>
      <c r="F651" s="57">
        <v>0.53500000000000003</v>
      </c>
      <c r="G651" s="57">
        <v>0.23799999999999999</v>
      </c>
      <c r="H651" s="57">
        <v>5.2999999999999999E-2</v>
      </c>
      <c r="I651" s="57">
        <v>2.1999999999999999E-2</v>
      </c>
      <c r="J651" s="57">
        <v>1.24</v>
      </c>
      <c r="K651" s="33">
        <f>AVERAGE(1.27,1.09,1.07,1)</f>
        <v>1.1075000000000002</v>
      </c>
      <c r="L651" s="70">
        <v>44704</v>
      </c>
    </row>
    <row r="652" spans="1:12" x14ac:dyDescent="0.2">
      <c r="A652" s="57" t="s">
        <v>59</v>
      </c>
      <c r="B652" s="57">
        <v>2352</v>
      </c>
      <c r="C652" s="57">
        <v>2</v>
      </c>
      <c r="D652" s="57">
        <v>1</v>
      </c>
      <c r="F652" s="57">
        <v>1.5629999999999999</v>
      </c>
      <c r="G652" s="57">
        <v>0.98</v>
      </c>
      <c r="H652" s="57">
        <v>0.55700000000000005</v>
      </c>
      <c r="I652" s="57">
        <v>0.34899999999999998</v>
      </c>
      <c r="J652" s="57">
        <v>13</v>
      </c>
      <c r="K652" s="33">
        <f>AVERAGE(1.81,1.83,1.81,1.91)</f>
        <v>1.84</v>
      </c>
      <c r="L652" s="70">
        <v>44704</v>
      </c>
    </row>
    <row r="653" spans="1:12" x14ac:dyDescent="0.2">
      <c r="A653" s="57" t="s">
        <v>59</v>
      </c>
      <c r="B653" s="57">
        <v>2331</v>
      </c>
      <c r="C653" s="57">
        <v>3</v>
      </c>
      <c r="D653" s="57">
        <v>0</v>
      </c>
      <c r="E653" s="57" t="s">
        <v>161</v>
      </c>
      <c r="F653" s="57">
        <v>3.1E-2</v>
      </c>
      <c r="G653" s="57">
        <v>1.7000000000000001E-2</v>
      </c>
      <c r="H653" s="57">
        <v>2.5000000000000001E-2</v>
      </c>
      <c r="I653" s="57">
        <v>1.2E-2</v>
      </c>
      <c r="J653" s="57">
        <v>1.1399999999999999</v>
      </c>
      <c r="K653" s="33">
        <f>AVERAGE(1.03,1.03,1.11,1.1)</f>
        <v>1.0674999999999999</v>
      </c>
      <c r="L653" s="70">
        <v>44704</v>
      </c>
    </row>
    <row r="654" spans="1:12" x14ac:dyDescent="0.2">
      <c r="A654" s="57" t="s">
        <v>159</v>
      </c>
      <c r="B654" s="57">
        <v>2346</v>
      </c>
      <c r="C654" s="57">
        <v>2</v>
      </c>
      <c r="D654" s="57">
        <v>0</v>
      </c>
      <c r="F654" s="57">
        <v>0.33500000000000002</v>
      </c>
      <c r="G654" s="57">
        <v>0.16300000000000001</v>
      </c>
      <c r="H654" s="57">
        <v>0.02</v>
      </c>
      <c r="I654" s="57">
        <v>8.9999999999999993E-3</v>
      </c>
      <c r="J654" s="57">
        <v>0.67</v>
      </c>
      <c r="K654" s="33">
        <f>AVERAGE(0.94,0.77,0.8,0.89)</f>
        <v>0.85</v>
      </c>
      <c r="L654" s="70">
        <v>44704</v>
      </c>
    </row>
    <row r="655" spans="1:12" x14ac:dyDescent="0.2">
      <c r="A655" s="57" t="s">
        <v>59</v>
      </c>
      <c r="B655" s="57">
        <v>2354</v>
      </c>
      <c r="C655" s="57">
        <v>2</v>
      </c>
      <c r="D655" s="57">
        <v>1</v>
      </c>
      <c r="F655" s="57">
        <v>1.9510000000000001</v>
      </c>
      <c r="G655" s="57">
        <v>1.03</v>
      </c>
      <c r="H655" s="57">
        <v>0.40699999999999997</v>
      </c>
      <c r="I655" s="57">
        <v>0.20200000000000001</v>
      </c>
      <c r="J655" s="57">
        <v>9.1199999999999992</v>
      </c>
      <c r="K655" s="33">
        <f>AVERAGE(1.55,1.8,1.9,1.99)</f>
        <v>1.81</v>
      </c>
      <c r="L655" s="70">
        <v>44704</v>
      </c>
    </row>
    <row r="656" spans="1:12" x14ac:dyDescent="0.2">
      <c r="A656" s="57" t="s">
        <v>159</v>
      </c>
      <c r="B656" s="57">
        <v>2367</v>
      </c>
      <c r="C656" s="57">
        <v>2</v>
      </c>
      <c r="D656" s="57">
        <v>0</v>
      </c>
      <c r="F656" s="57">
        <v>0.79100000000000004</v>
      </c>
      <c r="G656" s="57">
        <v>0.34699999999999998</v>
      </c>
      <c r="H656" s="57">
        <v>7.5999999999999998E-2</v>
      </c>
      <c r="I656" s="57">
        <v>3.3000000000000002E-2</v>
      </c>
      <c r="J656" s="57">
        <v>1.92</v>
      </c>
      <c r="K656" s="33">
        <f>AVERAGE(1.28,0.89,1.1,1.09)</f>
        <v>1.0900000000000001</v>
      </c>
    </row>
    <row r="657" spans="1:11" x14ac:dyDescent="0.2">
      <c r="A657" s="57" t="s">
        <v>159</v>
      </c>
      <c r="B657" s="57">
        <v>2026</v>
      </c>
      <c r="C657" s="57">
        <v>1</v>
      </c>
      <c r="D657" s="57">
        <v>0</v>
      </c>
      <c r="F657" s="57">
        <v>0.89</v>
      </c>
      <c r="G657" s="57">
        <v>0.43099999999999999</v>
      </c>
      <c r="H657" s="57">
        <v>0.23200000000000001</v>
      </c>
      <c r="I657" s="57">
        <v>0.11799999999999999</v>
      </c>
      <c r="J657" s="57">
        <v>3.9</v>
      </c>
      <c r="K657" s="33">
        <f>AVERAGE(1.58,1.52,1.64,1.58)</f>
        <v>1.58</v>
      </c>
    </row>
    <row r="658" spans="1:11" x14ac:dyDescent="0.2">
      <c r="A658" s="57" t="s">
        <v>59</v>
      </c>
      <c r="B658" s="57">
        <v>2029</v>
      </c>
      <c r="C658" s="57">
        <v>1</v>
      </c>
      <c r="D658" s="57">
        <v>0</v>
      </c>
      <c r="F658" s="57">
        <v>1.671</v>
      </c>
      <c r="G658" s="57">
        <v>0.88100000000000001</v>
      </c>
      <c r="H658" s="57">
        <v>6.4000000000000001E-2</v>
      </c>
      <c r="I658" s="57">
        <v>3.4000000000000002E-2</v>
      </c>
      <c r="J658" s="57">
        <v>2.1</v>
      </c>
      <c r="K658" s="33">
        <f>AVERAGE(1.07,1.18,1.15,1.17)</f>
        <v>1.1425000000000001</v>
      </c>
    </row>
    <row r="659" spans="1:11" x14ac:dyDescent="0.2">
      <c r="A659" s="57" t="s">
        <v>159</v>
      </c>
      <c r="B659" s="57">
        <v>2360</v>
      </c>
      <c r="C659" s="57">
        <v>3</v>
      </c>
      <c r="D659" s="57">
        <v>0</v>
      </c>
      <c r="F659" s="57">
        <v>1.242</v>
      </c>
      <c r="G659" s="57">
        <v>0.61299999999999999</v>
      </c>
      <c r="H659" s="57">
        <v>0.19900000000000001</v>
      </c>
      <c r="I659" s="57">
        <v>0.111</v>
      </c>
      <c r="J659" s="57">
        <v>4.26</v>
      </c>
      <c r="K659" s="33">
        <f>AVERAGE(1.67,1.59,1.46,1.63)</f>
        <v>1.5874999999999999</v>
      </c>
    </row>
    <row r="660" spans="1:11" x14ac:dyDescent="0.2">
      <c r="A660" s="57" t="s">
        <v>59</v>
      </c>
      <c r="B660" s="57">
        <v>2029</v>
      </c>
      <c r="C660" s="57">
        <v>2</v>
      </c>
      <c r="D660" s="57">
        <v>0</v>
      </c>
      <c r="F660" s="57">
        <v>1.236</v>
      </c>
      <c r="G660" s="57">
        <v>0.65500000000000003</v>
      </c>
      <c r="H660" s="57">
        <v>5.6000000000000001E-2</v>
      </c>
      <c r="I660" s="57">
        <v>0.03</v>
      </c>
      <c r="J660" s="57">
        <v>1.71</v>
      </c>
      <c r="K660" s="33">
        <f>AVERAGE(1.24,1.26,1.28,1.17)</f>
        <v>1.2375</v>
      </c>
    </row>
    <row r="661" spans="1:11" x14ac:dyDescent="0.2">
      <c r="A661" s="57" t="s">
        <v>159</v>
      </c>
      <c r="B661" s="57">
        <v>2365</v>
      </c>
      <c r="C661" s="57">
        <v>3</v>
      </c>
      <c r="D661" s="57">
        <v>0</v>
      </c>
      <c r="F661" s="57">
        <v>0.68700000000000006</v>
      </c>
      <c r="G661" s="57">
        <v>0.34300000000000003</v>
      </c>
      <c r="H661" s="57">
        <v>4.8000000000000001E-2</v>
      </c>
      <c r="I661" s="57">
        <v>2.7E-2</v>
      </c>
      <c r="J661" s="57">
        <v>1.22</v>
      </c>
      <c r="K661" s="33">
        <f>AVERAGE(1.18,1.06,1.02,1.03)</f>
        <v>1.0725</v>
      </c>
    </row>
    <row r="662" spans="1:11" x14ac:dyDescent="0.2">
      <c r="A662" s="57" t="s">
        <v>59</v>
      </c>
      <c r="B662" s="57">
        <v>2377</v>
      </c>
      <c r="C662" s="57">
        <v>1</v>
      </c>
      <c r="D662" s="57">
        <v>1</v>
      </c>
      <c r="F662" s="57">
        <v>0.65500000000000003</v>
      </c>
      <c r="G662" s="57">
        <v>0.34899999999999998</v>
      </c>
      <c r="H662" s="57">
        <v>0.128</v>
      </c>
      <c r="I662" s="57">
        <v>6.5000000000000002E-2</v>
      </c>
      <c r="J662" s="57">
        <v>3.58</v>
      </c>
      <c r="K662" s="33">
        <f>AVERAGE(1.25,1.25,1.33,1.35)</f>
        <v>1.2949999999999999</v>
      </c>
    </row>
    <row r="663" spans="1:11" x14ac:dyDescent="0.2">
      <c r="A663" s="57" t="s">
        <v>159</v>
      </c>
      <c r="B663" s="57">
        <v>2301</v>
      </c>
      <c r="C663" s="57">
        <v>3</v>
      </c>
      <c r="D663" s="57">
        <v>0</v>
      </c>
      <c r="F663" s="57">
        <v>0.45100000000000001</v>
      </c>
      <c r="G663" s="57">
        <v>0.23100000000000001</v>
      </c>
      <c r="H663" s="57">
        <v>5.2999999999999999E-2</v>
      </c>
      <c r="I663" s="57">
        <v>2.9000000000000001E-2</v>
      </c>
      <c r="J663" s="57">
        <v>1.1599999999999999</v>
      </c>
      <c r="K663" s="33">
        <f>AVERAGE(1.2,1.17,1.08,1.19)</f>
        <v>1.1600000000000001</v>
      </c>
    </row>
    <row r="664" spans="1:11" x14ac:dyDescent="0.2">
      <c r="A664" s="57" t="s">
        <v>159</v>
      </c>
      <c r="B664" s="57">
        <v>2301</v>
      </c>
      <c r="C664" s="57">
        <v>2</v>
      </c>
      <c r="D664" s="57">
        <v>0</v>
      </c>
      <c r="F664" s="57">
        <v>1.123</v>
      </c>
      <c r="G664" s="57">
        <v>0.57799999999999996</v>
      </c>
      <c r="H664" s="57">
        <v>0.14799999999999999</v>
      </c>
      <c r="I664" s="57">
        <v>8.1000000000000003E-2</v>
      </c>
      <c r="J664" s="57">
        <v>2.19</v>
      </c>
      <c r="K664" s="33">
        <f>AVERAGE(1.73,1.63,1.57,1.77)</f>
        <v>1.6749999999999998</v>
      </c>
    </row>
    <row r="665" spans="1:11" x14ac:dyDescent="0.2">
      <c r="A665" s="57" t="s">
        <v>159</v>
      </c>
      <c r="B665" s="57">
        <v>2365</v>
      </c>
      <c r="C665" s="57">
        <v>1</v>
      </c>
      <c r="D665" s="57">
        <v>0</v>
      </c>
      <c r="F665" s="57">
        <v>0.7</v>
      </c>
      <c r="G665" s="57">
        <v>0.35</v>
      </c>
      <c r="H665" s="57">
        <v>7.3999999999999996E-2</v>
      </c>
      <c r="I665" s="57">
        <v>4.1000000000000002E-2</v>
      </c>
      <c r="J665" s="57">
        <v>1.7</v>
      </c>
      <c r="K665" s="33">
        <f>AVERAGE(1.15,1.05,1.03,1.21)</f>
        <v>1.1100000000000001</v>
      </c>
    </row>
    <row r="666" spans="1:11" x14ac:dyDescent="0.2">
      <c r="A666" s="57" t="s">
        <v>159</v>
      </c>
      <c r="B666" s="57">
        <v>2028</v>
      </c>
      <c r="C666" s="57">
        <v>1</v>
      </c>
      <c r="D666" s="57">
        <v>0</v>
      </c>
      <c r="F666" s="57">
        <v>0.70099999999999996</v>
      </c>
      <c r="G666" s="57">
        <v>0.36199999999999999</v>
      </c>
      <c r="H666" s="57">
        <v>4.2000000000000003E-2</v>
      </c>
      <c r="I666" s="57">
        <v>2.1000000000000001E-2</v>
      </c>
      <c r="J666" s="57">
        <v>1.1200000000000001</v>
      </c>
      <c r="K666" s="33">
        <f>AVERAGE(0.91,1.1,1.07,1.04)</f>
        <v>1.03</v>
      </c>
    </row>
    <row r="667" spans="1:11" x14ac:dyDescent="0.2">
      <c r="A667" s="57" t="s">
        <v>159</v>
      </c>
      <c r="B667" s="57">
        <v>2360</v>
      </c>
      <c r="C667" s="57">
        <v>2</v>
      </c>
      <c r="D667" s="57">
        <v>0</v>
      </c>
      <c r="F667" s="57">
        <v>0.72699999999999998</v>
      </c>
      <c r="G667" s="57">
        <v>0.36</v>
      </c>
      <c r="H667" s="57">
        <v>0.125</v>
      </c>
      <c r="I667" s="57">
        <v>6.8000000000000005E-2</v>
      </c>
      <c r="J667" s="57">
        <v>3.33</v>
      </c>
      <c r="K667" s="33">
        <f>AVERAGE(1.25,1.57,1.34,1.46)</f>
        <v>1.405</v>
      </c>
    </row>
    <row r="668" spans="1:11" x14ac:dyDescent="0.2">
      <c r="A668" s="57" t="s">
        <v>159</v>
      </c>
      <c r="B668" s="57">
        <v>2028</v>
      </c>
      <c r="C668" s="57">
        <v>2</v>
      </c>
      <c r="D668" s="57">
        <v>0</v>
      </c>
      <c r="F668" s="57">
        <v>0.54900000000000004</v>
      </c>
      <c r="G668" s="57">
        <v>0.28599999999999998</v>
      </c>
      <c r="H668" s="57">
        <v>3.1E-2</v>
      </c>
      <c r="I668" s="57">
        <v>1.4999999999999999E-2</v>
      </c>
      <c r="J668" s="57">
        <v>0.72</v>
      </c>
      <c r="K668" s="33">
        <f>AVERAGE(1.14,1.23,1.15,1.15)</f>
        <v>1.1675</v>
      </c>
    </row>
    <row r="669" spans="1:11" x14ac:dyDescent="0.2">
      <c r="A669" s="57" t="s">
        <v>59</v>
      </c>
      <c r="B669" s="57">
        <v>2022</v>
      </c>
      <c r="C669" s="57">
        <v>2</v>
      </c>
      <c r="D669" s="57">
        <v>0</v>
      </c>
      <c r="F669" s="57">
        <v>3.7650000000000001</v>
      </c>
      <c r="G669" s="57">
        <v>1.91</v>
      </c>
      <c r="H669" s="57">
        <v>0.33800000000000002</v>
      </c>
      <c r="I669" s="57">
        <v>0.16800000000000001</v>
      </c>
      <c r="J669" s="57">
        <v>4.49</v>
      </c>
      <c r="K669" s="33">
        <f>AVERAGE(1.75,1.69,1.74,1.81)</f>
        <v>1.7475000000000001</v>
      </c>
    </row>
    <row r="670" spans="1:11" x14ac:dyDescent="0.2">
      <c r="A670" s="57" t="s">
        <v>59</v>
      </c>
      <c r="B670" s="57">
        <v>2030</v>
      </c>
      <c r="C670" s="57">
        <v>2</v>
      </c>
      <c r="D670" s="57">
        <v>0</v>
      </c>
      <c r="F670" s="57">
        <v>0.75800000000000001</v>
      </c>
      <c r="G670" s="57">
        <v>0.36699999999999999</v>
      </c>
      <c r="H670" s="57">
        <v>0.10100000000000001</v>
      </c>
      <c r="I670" s="57">
        <v>4.7E-2</v>
      </c>
      <c r="J670" s="57">
        <v>3.35</v>
      </c>
      <c r="K670" s="33">
        <f>AVERAGE(1.13,1.14,1.05,1.07)</f>
        <v>1.0974999999999999</v>
      </c>
    </row>
    <row r="671" spans="1:11" x14ac:dyDescent="0.2">
      <c r="A671" s="57" t="s">
        <v>159</v>
      </c>
      <c r="B671" s="57">
        <v>2384</v>
      </c>
      <c r="C671" s="57">
        <v>1</v>
      </c>
      <c r="D671" s="57">
        <v>0</v>
      </c>
      <c r="F671" s="57">
        <v>0.439</v>
      </c>
      <c r="G671" s="57">
        <v>0.222</v>
      </c>
      <c r="H671" s="57">
        <v>4.2000000000000003E-2</v>
      </c>
      <c r="I671" s="57">
        <v>2.3E-2</v>
      </c>
      <c r="J671" s="57">
        <v>1.1399999999999999</v>
      </c>
      <c r="K671" s="33">
        <f>AVERAGE(1.01,1.08,1.22,1.24)</f>
        <v>1.1375</v>
      </c>
    </row>
    <row r="672" spans="1:11" x14ac:dyDescent="0.2">
      <c r="A672" s="57" t="s">
        <v>59</v>
      </c>
      <c r="B672" s="57">
        <v>2354</v>
      </c>
      <c r="C672" s="57">
        <v>1</v>
      </c>
      <c r="D672" s="57">
        <v>1</v>
      </c>
      <c r="F672" s="57">
        <v>3.4540000000000002</v>
      </c>
      <c r="G672" s="57">
        <v>1.8169999999999999</v>
      </c>
      <c r="H672" s="57">
        <v>0.76800000000000002</v>
      </c>
      <c r="I672" s="57">
        <v>0.377</v>
      </c>
      <c r="J672" s="57">
        <v>11.74</v>
      </c>
      <c r="K672" s="33">
        <f>AVERAGE(2.26,2.17,2.56,2.51)</f>
        <v>2.375</v>
      </c>
    </row>
    <row r="673" spans="1:11" x14ac:dyDescent="0.2">
      <c r="A673" s="57" t="s">
        <v>59</v>
      </c>
      <c r="B673" s="57">
        <v>2029</v>
      </c>
      <c r="C673" s="57">
        <v>2</v>
      </c>
      <c r="D673" s="57">
        <v>1</v>
      </c>
      <c r="F673" s="57">
        <v>0.79400000000000004</v>
      </c>
      <c r="G673" s="57">
        <v>0.46899999999999997</v>
      </c>
      <c r="H673" s="57">
        <v>0.35699999999999998</v>
      </c>
      <c r="I673" s="57">
        <v>0.19600000000000001</v>
      </c>
      <c r="J673" s="57">
        <v>7.37</v>
      </c>
      <c r="K673" s="33">
        <f>AVERAGE(1.6,1.64,1.79,1.81)</f>
        <v>1.71</v>
      </c>
    </row>
    <row r="674" spans="1:11" x14ac:dyDescent="0.2">
      <c r="A674" s="57" t="s">
        <v>159</v>
      </c>
      <c r="B674" s="57">
        <v>2021</v>
      </c>
      <c r="C674" s="57">
        <v>1</v>
      </c>
      <c r="D674" s="57">
        <v>0</v>
      </c>
      <c r="F674" s="57">
        <v>0.79300000000000004</v>
      </c>
      <c r="G674" s="57">
        <v>0.35899999999999999</v>
      </c>
      <c r="H674" s="57">
        <v>5.7000000000000002E-2</v>
      </c>
      <c r="I674" s="57">
        <v>2.5000000000000001E-2</v>
      </c>
      <c r="J674" s="57">
        <v>0.95</v>
      </c>
      <c r="K674" s="33">
        <f>AVERAGE(1.11,1.19,1.23,1.2)</f>
        <v>1.1824999999999999</v>
      </c>
    </row>
    <row r="675" spans="1:11" x14ac:dyDescent="0.2">
      <c r="A675" s="57" t="s">
        <v>59</v>
      </c>
      <c r="B675" s="57">
        <v>2376</v>
      </c>
      <c r="C675" s="57">
        <v>3</v>
      </c>
      <c r="D675" s="57">
        <v>1</v>
      </c>
      <c r="F675" s="57">
        <v>2.7909999999999999</v>
      </c>
      <c r="G675" s="57">
        <v>1.6419999999999999</v>
      </c>
      <c r="H675" s="57">
        <v>0.44600000000000001</v>
      </c>
      <c r="I675" s="57">
        <v>0.251</v>
      </c>
      <c r="J675" s="57">
        <v>7.68</v>
      </c>
      <c r="K675" s="33">
        <f>AVERAGE(1.87,2,2.1,2.11)</f>
        <v>2.02</v>
      </c>
    </row>
    <row r="676" spans="1:11" x14ac:dyDescent="0.2">
      <c r="A676" s="57" t="s">
        <v>59</v>
      </c>
      <c r="B676" s="57">
        <v>2377</v>
      </c>
      <c r="C676" s="57">
        <v>2</v>
      </c>
      <c r="D676" s="57">
        <v>1</v>
      </c>
      <c r="F676" s="57">
        <v>0.94099999999999995</v>
      </c>
      <c r="G676" s="57">
        <v>0.495</v>
      </c>
      <c r="H676" s="57">
        <v>0.14099999999999999</v>
      </c>
      <c r="I676" s="57">
        <v>6.8000000000000005E-2</v>
      </c>
      <c r="J676" s="57">
        <v>4.0999999999999996</v>
      </c>
      <c r="K676" s="33">
        <f>AVERAGE(1.21,1.22,1.33,1.33)</f>
        <v>1.2725</v>
      </c>
    </row>
    <row r="677" spans="1:11" x14ac:dyDescent="0.2">
      <c r="A677" s="57" t="s">
        <v>59</v>
      </c>
      <c r="B677" s="57">
        <v>2376</v>
      </c>
      <c r="C677" s="57">
        <v>1</v>
      </c>
      <c r="D677" s="57">
        <v>1</v>
      </c>
      <c r="F677" s="57">
        <v>1.54</v>
      </c>
      <c r="G677" s="57">
        <v>0.86</v>
      </c>
      <c r="H677" s="57">
        <v>0.36899999999999999</v>
      </c>
      <c r="I677" s="57">
        <v>0.20499999999999999</v>
      </c>
      <c r="J677" s="57">
        <v>7.35</v>
      </c>
      <c r="K677" s="33">
        <f>AVERAGE(1.64,1.64,1.68,1.67)</f>
        <v>1.6575</v>
      </c>
    </row>
    <row r="678" spans="1:11" x14ac:dyDescent="0.2">
      <c r="A678" s="57" t="s">
        <v>59</v>
      </c>
      <c r="B678" s="57">
        <v>2030</v>
      </c>
      <c r="C678" s="57">
        <v>3</v>
      </c>
      <c r="D678" s="57">
        <v>1</v>
      </c>
      <c r="F678" s="57">
        <v>0.82599999999999996</v>
      </c>
      <c r="G678" s="57">
        <v>0.47599999999999998</v>
      </c>
      <c r="H678" s="57">
        <v>8.7999999999999995E-2</v>
      </c>
      <c r="I678" s="57">
        <v>4.7E-2</v>
      </c>
      <c r="J678" s="57">
        <v>2.52</v>
      </c>
      <c r="K678" s="33">
        <f>AVERAGE(1.4,1.29,1.2,1.13)</f>
        <v>1.2549999999999999</v>
      </c>
    </row>
    <row r="679" spans="1:11" x14ac:dyDescent="0.2">
      <c r="A679" s="57" t="s">
        <v>59</v>
      </c>
      <c r="B679" s="57">
        <v>2029</v>
      </c>
      <c r="C679" s="57">
        <v>3</v>
      </c>
      <c r="D679" s="57">
        <v>0</v>
      </c>
      <c r="F679" s="57">
        <v>0.90200000000000002</v>
      </c>
      <c r="G679" s="57">
        <v>0.48</v>
      </c>
      <c r="H679" s="57">
        <v>4.3999999999999997E-2</v>
      </c>
      <c r="I679" s="57">
        <v>2.4E-2</v>
      </c>
      <c r="J679" s="57">
        <v>1.69</v>
      </c>
      <c r="K679" s="33">
        <f>AVERAGE(1.07,1.03,1.05,1.17)</f>
        <v>1.08</v>
      </c>
    </row>
    <row r="680" spans="1:11" x14ac:dyDescent="0.2">
      <c r="A680" s="57" t="s">
        <v>59</v>
      </c>
      <c r="B680" s="57">
        <v>2029</v>
      </c>
      <c r="C680" s="57">
        <v>1</v>
      </c>
      <c r="D680" s="57">
        <v>1</v>
      </c>
      <c r="F680" s="57">
        <v>0.42499999999999999</v>
      </c>
      <c r="G680" s="57">
        <v>0.245</v>
      </c>
      <c r="H680" s="57">
        <v>6.0999999999999999E-2</v>
      </c>
      <c r="I680" s="57">
        <v>3.4000000000000002E-2</v>
      </c>
      <c r="J680" s="57">
        <v>1.45</v>
      </c>
      <c r="K680" s="33">
        <f>AVERAGE(1.32,1.36,1.37,1.39)</f>
        <v>1.36</v>
      </c>
    </row>
    <row r="681" spans="1:11" x14ac:dyDescent="0.2">
      <c r="A681" s="57" t="s">
        <v>159</v>
      </c>
      <c r="B681" s="57">
        <v>2021</v>
      </c>
      <c r="C681" s="57">
        <v>2</v>
      </c>
      <c r="D681" s="57">
        <v>0</v>
      </c>
      <c r="F681" s="57">
        <v>0.99199999999999999</v>
      </c>
      <c r="G681" s="57">
        <v>0.44400000000000001</v>
      </c>
      <c r="H681" s="57">
        <v>0.11</v>
      </c>
      <c r="I681" s="57">
        <v>4.7E-2</v>
      </c>
      <c r="J681" s="57">
        <v>1.42</v>
      </c>
      <c r="K681" s="33">
        <f>AVERAGE(1.42,1.43,1.48,1.24)</f>
        <v>1.3925000000000001</v>
      </c>
    </row>
    <row r="682" spans="1:11" x14ac:dyDescent="0.2">
      <c r="A682" s="57" t="s">
        <v>159</v>
      </c>
      <c r="B682" s="57">
        <v>2343</v>
      </c>
      <c r="C682" s="57">
        <v>1</v>
      </c>
      <c r="D682" s="57">
        <v>0</v>
      </c>
      <c r="F682" s="57">
        <v>1.79</v>
      </c>
      <c r="G682" s="57">
        <v>0.89</v>
      </c>
      <c r="H682" s="57">
        <v>0.30399999999999999</v>
      </c>
      <c r="I682" s="57">
        <v>0.14899999999999999</v>
      </c>
      <c r="J682" s="57">
        <v>4.2</v>
      </c>
      <c r="K682" s="33">
        <f>AVERAGE(1.74,1.58,1.66,2.1)</f>
        <v>1.77</v>
      </c>
    </row>
    <row r="683" spans="1:11" x14ac:dyDescent="0.2">
      <c r="A683" s="57" t="s">
        <v>159</v>
      </c>
      <c r="B683" s="57">
        <v>2365</v>
      </c>
      <c r="C683" s="57">
        <v>2</v>
      </c>
      <c r="D683" s="57">
        <v>0</v>
      </c>
      <c r="F683" s="57">
        <v>0.76200000000000001</v>
      </c>
      <c r="G683" s="57">
        <v>0.375</v>
      </c>
      <c r="H683" s="57">
        <v>7.4999999999999997E-2</v>
      </c>
      <c r="I683" s="57">
        <v>4.1000000000000002E-2</v>
      </c>
      <c r="J683" s="57">
        <v>1.82</v>
      </c>
      <c r="K683" s="33">
        <f>AVERAGE(1.1,1.16,1.12,1.11)</f>
        <v>1.1225000000000001</v>
      </c>
    </row>
    <row r="684" spans="1:11" x14ac:dyDescent="0.2">
      <c r="A684" s="57" t="s">
        <v>159</v>
      </c>
      <c r="B684" s="57">
        <v>2384</v>
      </c>
      <c r="C684" s="57">
        <v>2</v>
      </c>
      <c r="D684" s="57">
        <v>0</v>
      </c>
      <c r="F684" s="57">
        <v>0.54</v>
      </c>
      <c r="G684" s="57">
        <v>0.26700000000000002</v>
      </c>
      <c r="H684" s="57">
        <v>3.9E-2</v>
      </c>
      <c r="I684" s="57">
        <v>2.1000000000000001E-2</v>
      </c>
      <c r="J684" s="57">
        <v>1</v>
      </c>
      <c r="K684" s="33">
        <f>AVERAGE(1.35,1.32,1.44,1.4)</f>
        <v>1.3774999999999999</v>
      </c>
    </row>
    <row r="685" spans="1:11" x14ac:dyDescent="0.2">
      <c r="A685" s="57" t="s">
        <v>159</v>
      </c>
      <c r="B685" s="57">
        <v>2026</v>
      </c>
      <c r="C685" s="57">
        <v>3</v>
      </c>
      <c r="D685" s="57">
        <v>0</v>
      </c>
      <c r="F685" s="57">
        <v>0.61099999999999999</v>
      </c>
      <c r="G685" s="57">
        <v>0.29699999999999999</v>
      </c>
      <c r="H685" s="57">
        <v>0.122</v>
      </c>
      <c r="I685" s="57">
        <v>6.2E-2</v>
      </c>
      <c r="J685" s="57">
        <v>3.08</v>
      </c>
      <c r="K685" s="33">
        <f>AVERAGE(1.16,1.21,1.21,1.17)</f>
        <v>1.1875</v>
      </c>
    </row>
    <row r="686" spans="1:11" x14ac:dyDescent="0.2">
      <c r="A686" s="57" t="s">
        <v>159</v>
      </c>
      <c r="B686" s="57">
        <v>2367</v>
      </c>
      <c r="C686" s="57">
        <v>1</v>
      </c>
      <c r="D686" s="57">
        <v>0</v>
      </c>
      <c r="F686" s="57">
        <v>0.67900000000000005</v>
      </c>
      <c r="G686" s="57">
        <v>0.29299999999999998</v>
      </c>
      <c r="H686" s="57">
        <v>0.13500000000000001</v>
      </c>
      <c r="I686" s="57">
        <v>0.06</v>
      </c>
      <c r="J686" s="57">
        <v>2.92</v>
      </c>
      <c r="K686" s="33">
        <f>AVERAGE(1.3,1.27,1.33,1.21)</f>
        <v>1.2775000000000001</v>
      </c>
    </row>
    <row r="687" spans="1:11" x14ac:dyDescent="0.2">
      <c r="A687" s="57" t="s">
        <v>159</v>
      </c>
      <c r="B687" s="57">
        <v>2383</v>
      </c>
      <c r="C687" s="57">
        <v>2</v>
      </c>
      <c r="D687" s="57">
        <v>0</v>
      </c>
      <c r="F687" s="57">
        <v>0.39900000000000002</v>
      </c>
      <c r="G687" s="57">
        <v>0.20899999999999999</v>
      </c>
      <c r="H687" s="57">
        <v>4.9000000000000002E-2</v>
      </c>
      <c r="I687" s="57">
        <v>2.8000000000000001E-2</v>
      </c>
      <c r="J687" s="57">
        <v>1.37</v>
      </c>
      <c r="K687" s="33">
        <f>AVERAGE(1.14,1.08,1.02,1.1)</f>
        <v>1.085</v>
      </c>
    </row>
    <row r="688" spans="1:11" x14ac:dyDescent="0.2">
      <c r="A688" s="57" t="s">
        <v>59</v>
      </c>
      <c r="B688" s="57">
        <v>2377</v>
      </c>
      <c r="C688" s="57">
        <v>3</v>
      </c>
      <c r="D688" s="57">
        <v>1</v>
      </c>
      <c r="F688" s="57">
        <v>0.34</v>
      </c>
      <c r="G688" s="57">
        <v>0.189</v>
      </c>
      <c r="H688" s="57">
        <v>0.16500000000000001</v>
      </c>
      <c r="I688" s="57">
        <v>8.3000000000000004E-2</v>
      </c>
      <c r="J688" s="57">
        <v>5.65</v>
      </c>
      <c r="K688" s="33">
        <f>AVERAGE(1.28,1.42,1.44,1.45)</f>
        <v>1.3975000000000002</v>
      </c>
    </row>
    <row r="689" spans="1:11" x14ac:dyDescent="0.2">
      <c r="A689" s="57" t="s">
        <v>159</v>
      </c>
      <c r="B689" s="57">
        <v>2360</v>
      </c>
      <c r="C689" s="57">
        <v>1</v>
      </c>
      <c r="D689" s="57">
        <v>0</v>
      </c>
      <c r="F689" s="57">
        <v>1.2330000000000001</v>
      </c>
      <c r="G689" s="57">
        <v>0.61099999999999999</v>
      </c>
      <c r="H689" s="57">
        <v>0.19800000000000001</v>
      </c>
      <c r="I689" s="57">
        <v>0.111</v>
      </c>
      <c r="J689" s="57">
        <v>4.3600000000000003</v>
      </c>
      <c r="K689" s="33">
        <f>AVERAGE(1.48,1.55,1.64,1.77)</f>
        <v>1.6099999999999999</v>
      </c>
    </row>
    <row r="690" spans="1:11" x14ac:dyDescent="0.2">
      <c r="A690" s="57" t="s">
        <v>159</v>
      </c>
      <c r="B690" s="57">
        <v>2301</v>
      </c>
      <c r="C690" s="57">
        <v>1</v>
      </c>
      <c r="D690" s="57">
        <v>0</v>
      </c>
      <c r="F690" s="57">
        <v>0.63300000000000001</v>
      </c>
      <c r="G690" s="57">
        <v>0.32900000000000001</v>
      </c>
      <c r="H690" s="57">
        <v>8.1000000000000003E-2</v>
      </c>
      <c r="I690" s="57">
        <v>4.4999999999999998E-2</v>
      </c>
      <c r="J690" s="57">
        <v>2.06</v>
      </c>
      <c r="K690" s="33">
        <f>AVERAGE(1.44,1.47,1.48,1.23)</f>
        <v>1.4050000000000002</v>
      </c>
    </row>
    <row r="691" spans="1:11" x14ac:dyDescent="0.2">
      <c r="A691" s="57" t="s">
        <v>59</v>
      </c>
      <c r="B691" s="57">
        <v>2030</v>
      </c>
      <c r="C691" s="57">
        <v>1</v>
      </c>
      <c r="D691" s="57">
        <v>0</v>
      </c>
      <c r="F691" s="57">
        <v>1.417</v>
      </c>
      <c r="G691" s="57">
        <v>0.70699999999999996</v>
      </c>
      <c r="H691" s="57">
        <v>0.14099999999999999</v>
      </c>
      <c r="I691" s="57">
        <v>6.4000000000000001E-2</v>
      </c>
      <c r="J691" s="57">
        <v>3.63</v>
      </c>
      <c r="K691" s="33">
        <f>AVERAGE(1.08,1.14,1.22,1.19)</f>
        <v>1.1574999999999998</v>
      </c>
    </row>
    <row r="692" spans="1:11" x14ac:dyDescent="0.2">
      <c r="A692" s="57" t="s">
        <v>159</v>
      </c>
      <c r="B692" s="57">
        <v>2384</v>
      </c>
      <c r="C692" s="57">
        <v>3</v>
      </c>
      <c r="D692" s="57">
        <v>0</v>
      </c>
      <c r="F692" s="57">
        <v>0.39600000000000002</v>
      </c>
      <c r="G692" s="57">
        <v>0.192</v>
      </c>
      <c r="H692" s="57">
        <v>2.5999999999999999E-2</v>
      </c>
      <c r="I692" s="57">
        <v>1.2999999999999999E-2</v>
      </c>
      <c r="J692" s="57">
        <v>0.8</v>
      </c>
      <c r="K692" s="33">
        <f>AVERAGE(1.14,1.12,1.19,0.99)</f>
        <v>1.1099999999999999</v>
      </c>
    </row>
    <row r="693" spans="1:11" x14ac:dyDescent="0.2">
      <c r="A693" s="57" t="s">
        <v>159</v>
      </c>
      <c r="B693" s="57">
        <v>2021</v>
      </c>
      <c r="C693" s="57">
        <v>3</v>
      </c>
      <c r="D693" s="57">
        <v>0</v>
      </c>
      <c r="F693" s="57">
        <v>0.69399999999999995</v>
      </c>
      <c r="G693" s="57">
        <v>0.313</v>
      </c>
      <c r="H693" s="57">
        <v>3.9E-2</v>
      </c>
      <c r="I693" s="57">
        <v>1.7000000000000001E-2</v>
      </c>
      <c r="J693" s="57">
        <v>0.94</v>
      </c>
      <c r="K693" s="33">
        <f>AVERAGE(1.01,1.07,1.08,0.93)</f>
        <v>1.0225</v>
      </c>
    </row>
    <row r="694" spans="1:11" x14ac:dyDescent="0.2">
      <c r="A694" s="57" t="s">
        <v>159</v>
      </c>
      <c r="B694" s="57">
        <v>2027</v>
      </c>
      <c r="C694" s="57">
        <v>1</v>
      </c>
      <c r="D694" s="57">
        <v>0</v>
      </c>
      <c r="F694" s="57">
        <v>0.53300000000000003</v>
      </c>
      <c r="G694" s="57">
        <v>0.26200000000000001</v>
      </c>
      <c r="H694" s="57">
        <v>3.5999999999999997E-2</v>
      </c>
      <c r="I694" s="57">
        <v>1.7999999999999999E-2</v>
      </c>
      <c r="J694" s="57">
        <v>0.97</v>
      </c>
      <c r="K694" s="33">
        <f>AVERAGE(1.18,1.12,1.02,1.06)</f>
        <v>1.095</v>
      </c>
    </row>
    <row r="695" spans="1:11" x14ac:dyDescent="0.2">
      <c r="A695" s="57" t="s">
        <v>159</v>
      </c>
      <c r="B695" s="57">
        <v>2027</v>
      </c>
      <c r="C695" s="57">
        <v>3</v>
      </c>
      <c r="D695" s="57">
        <v>0</v>
      </c>
      <c r="F695" s="57">
        <v>0.34</v>
      </c>
      <c r="G695" s="57">
        <v>0.16300000000000001</v>
      </c>
      <c r="H695" s="57">
        <v>3.1E-2</v>
      </c>
      <c r="I695" s="57">
        <v>1.4999999999999999E-2</v>
      </c>
      <c r="J695" s="57">
        <v>0.85</v>
      </c>
      <c r="K695" s="33">
        <f>AVERAGE(1.21,1.21,1.23,1.21)</f>
        <v>1.2149999999999999</v>
      </c>
    </row>
    <row r="696" spans="1:11" x14ac:dyDescent="0.2">
      <c r="A696" s="57" t="s">
        <v>59</v>
      </c>
      <c r="B696" s="57">
        <v>2022</v>
      </c>
      <c r="C696" s="57">
        <v>3</v>
      </c>
      <c r="D696" s="57">
        <v>1</v>
      </c>
      <c r="F696" s="57">
        <v>0.34100000000000003</v>
      </c>
      <c r="G696" s="57">
        <v>0.192</v>
      </c>
      <c r="H696" s="57">
        <v>8.7999999999999995E-2</v>
      </c>
      <c r="I696" s="57">
        <v>4.8000000000000001E-2</v>
      </c>
      <c r="J696" s="57">
        <v>2.15</v>
      </c>
      <c r="K696" s="33">
        <f>AVERAGE(1.54,1.67,1.45,1.6)</f>
        <v>1.5649999999999999</v>
      </c>
    </row>
    <row r="697" spans="1:11" x14ac:dyDescent="0.2">
      <c r="A697" s="57" t="s">
        <v>159</v>
      </c>
      <c r="B697" s="57">
        <v>2343</v>
      </c>
      <c r="C697" s="57">
        <v>2</v>
      </c>
      <c r="D697" s="57">
        <v>0</v>
      </c>
      <c r="F697" s="57">
        <v>0.89200000000000002</v>
      </c>
      <c r="G697" s="57">
        <v>0.44700000000000001</v>
      </c>
      <c r="H697" s="57">
        <v>0.11899999999999999</v>
      </c>
      <c r="I697" s="57">
        <v>5.8000000000000003E-2</v>
      </c>
      <c r="J697" s="57">
        <v>2.2200000000000002</v>
      </c>
      <c r="K697" s="33">
        <f>AVERAGE(1.26,1.23,1.26,1.51)</f>
        <v>1.3149999999999999</v>
      </c>
    </row>
    <row r="698" spans="1:11" x14ac:dyDescent="0.2">
      <c r="A698" s="57" t="s">
        <v>159</v>
      </c>
      <c r="B698" s="57">
        <v>2383</v>
      </c>
      <c r="C698" s="57">
        <v>1</v>
      </c>
      <c r="D698" s="57">
        <v>0</v>
      </c>
      <c r="F698" s="57">
        <v>0.74199999999999999</v>
      </c>
      <c r="G698" s="57">
        <v>0.38200000000000001</v>
      </c>
      <c r="H698" s="57">
        <v>6.9000000000000006E-2</v>
      </c>
      <c r="I698" s="57">
        <v>3.7999999999999999E-2</v>
      </c>
      <c r="J698" s="57">
        <v>1.62</v>
      </c>
      <c r="K698" s="33">
        <f>AVERAGE(1.27,1.33,1.43,1.31)</f>
        <v>1.335</v>
      </c>
    </row>
    <row r="699" spans="1:11" x14ac:dyDescent="0.2">
      <c r="A699" s="57" t="s">
        <v>59</v>
      </c>
      <c r="B699" s="57">
        <v>2022</v>
      </c>
      <c r="C699" s="57">
        <v>3</v>
      </c>
      <c r="D699" s="57">
        <v>0</v>
      </c>
      <c r="F699" s="57">
        <v>2.4929999999999999</v>
      </c>
      <c r="G699" s="57">
        <v>1.276</v>
      </c>
      <c r="H699" s="57">
        <v>0.18</v>
      </c>
      <c r="I699" s="57">
        <v>8.8999999999999996E-2</v>
      </c>
      <c r="J699" s="57">
        <v>2.78</v>
      </c>
      <c r="K699" s="33">
        <f>AVERAGE(1.61,1.48,1.4,1.52)</f>
        <v>1.5024999999999999</v>
      </c>
    </row>
    <row r="700" spans="1:11" x14ac:dyDescent="0.2">
      <c r="A700" s="57" t="s">
        <v>159</v>
      </c>
      <c r="B700" s="57">
        <v>2026</v>
      </c>
      <c r="C700" s="57">
        <v>2</v>
      </c>
      <c r="D700" s="57">
        <v>0</v>
      </c>
      <c r="F700" s="57">
        <v>0.98399999999999999</v>
      </c>
      <c r="G700" s="57">
        <v>0.48</v>
      </c>
      <c r="H700" s="57">
        <v>0.14799999999999999</v>
      </c>
      <c r="I700" s="57">
        <v>7.3999999999999996E-2</v>
      </c>
      <c r="J700" s="57">
        <v>2.73</v>
      </c>
      <c r="K700" s="33">
        <f>AVERAGE(1.42,1.55,1.3,1.55)</f>
        <v>1.4549999999999998</v>
      </c>
    </row>
    <row r="701" spans="1:11" x14ac:dyDescent="0.2">
      <c r="A701" s="57" t="s">
        <v>159</v>
      </c>
      <c r="B701" s="57">
        <v>2028</v>
      </c>
      <c r="C701" s="57">
        <v>3</v>
      </c>
      <c r="D701" s="57">
        <v>0</v>
      </c>
      <c r="F701" s="57">
        <v>0.41399999999999998</v>
      </c>
      <c r="G701" s="57">
        <v>0.20100000000000001</v>
      </c>
      <c r="H701" s="57">
        <v>3.7999999999999999E-2</v>
      </c>
      <c r="I701" s="57">
        <v>1.7999999999999999E-2</v>
      </c>
      <c r="J701" s="57">
        <v>0.95</v>
      </c>
      <c r="K701" s="33">
        <f>AVERAGE(1.14,1.09,1.05,1.05)</f>
        <v>1.0825</v>
      </c>
    </row>
    <row r="702" spans="1:11" x14ac:dyDescent="0.2">
      <c r="A702" s="57" t="s">
        <v>159</v>
      </c>
      <c r="B702" s="57">
        <v>2027</v>
      </c>
      <c r="C702" s="57">
        <v>2</v>
      </c>
      <c r="D702" s="57">
        <v>0</v>
      </c>
      <c r="F702" s="57">
        <v>0.60699999999999998</v>
      </c>
      <c r="G702" s="57">
        <v>0.30299999999999999</v>
      </c>
      <c r="H702" s="57">
        <v>7.4999999999999997E-2</v>
      </c>
      <c r="I702" s="57">
        <v>3.7999999999999999E-2</v>
      </c>
      <c r="J702" s="57">
        <v>1.34</v>
      </c>
      <c r="K702" s="33">
        <f>AVERAGE(1.28,1.1,1.25,1.18)</f>
        <v>1.2024999999999999</v>
      </c>
    </row>
    <row r="703" spans="1:11" x14ac:dyDescent="0.2">
      <c r="A703" s="57" t="s">
        <v>59</v>
      </c>
      <c r="B703" s="57">
        <v>2376</v>
      </c>
      <c r="C703" s="57">
        <v>2</v>
      </c>
      <c r="D703" s="57">
        <v>1</v>
      </c>
      <c r="F703" s="57">
        <v>1.64</v>
      </c>
      <c r="G703" s="57">
        <v>0.91300000000000003</v>
      </c>
      <c r="H703" s="57">
        <v>0.40200000000000002</v>
      </c>
      <c r="I703" s="57">
        <v>0.223</v>
      </c>
      <c r="J703" s="57">
        <v>8.1</v>
      </c>
      <c r="K703" s="33">
        <f>AVERAGE(1.65,1.69,1.75,1.77)</f>
        <v>1.7149999999999999</v>
      </c>
    </row>
    <row r="704" spans="1:11" x14ac:dyDescent="0.2">
      <c r="A704" s="57" t="s">
        <v>59</v>
      </c>
      <c r="B704" s="57">
        <v>2022</v>
      </c>
      <c r="C704" s="57">
        <v>1</v>
      </c>
      <c r="D704" s="57">
        <v>0</v>
      </c>
      <c r="F704" s="57">
        <v>3.0659999999999998</v>
      </c>
      <c r="G704" s="57">
        <v>1.524</v>
      </c>
      <c r="H704" s="57">
        <v>0.23699999999999999</v>
      </c>
      <c r="I704" s="57">
        <v>0.11600000000000001</v>
      </c>
      <c r="J704" s="57">
        <v>3.42</v>
      </c>
      <c r="K704" s="33">
        <f>AVERAGE(1.58,1.91,1.73,1.58)</f>
        <v>1.7000000000000002</v>
      </c>
    </row>
    <row r="705" spans="1:11" x14ac:dyDescent="0.2">
      <c r="A705" s="57" t="s">
        <v>59</v>
      </c>
      <c r="B705" s="57">
        <v>2022</v>
      </c>
      <c r="C705" s="57">
        <v>1</v>
      </c>
      <c r="D705" s="57">
        <v>1</v>
      </c>
      <c r="F705" s="57">
        <v>0.55200000000000005</v>
      </c>
      <c r="G705" s="57">
        <v>0.30499999999999999</v>
      </c>
      <c r="H705" s="57">
        <v>0.121</v>
      </c>
      <c r="I705" s="57">
        <v>6.5000000000000002E-2</v>
      </c>
      <c r="J705" s="57">
        <v>2.1800000000000002</v>
      </c>
      <c r="K705" s="33">
        <f>AVERAGE(1.57,1.56,1.41,1.57)</f>
        <v>1.5275000000000001</v>
      </c>
    </row>
    <row r="706" spans="1:11" x14ac:dyDescent="0.2">
      <c r="A706" s="57" t="s">
        <v>59</v>
      </c>
      <c r="B706" s="57">
        <v>2029</v>
      </c>
      <c r="C706" s="57">
        <v>3</v>
      </c>
      <c r="D706" s="57">
        <v>1</v>
      </c>
      <c r="F706" s="57">
        <v>0.46400000000000002</v>
      </c>
      <c r="G706" s="57">
        <v>0.27700000000000002</v>
      </c>
      <c r="H706" s="57">
        <v>0.20399999999999999</v>
      </c>
      <c r="I706" s="57">
        <v>0.114</v>
      </c>
      <c r="J706" s="57">
        <v>5.14</v>
      </c>
      <c r="K706" s="33">
        <f>AVERAGE(1.48,1.58,1.44,1.58)</f>
        <v>1.52</v>
      </c>
    </row>
    <row r="707" spans="1:11" x14ac:dyDescent="0.2">
      <c r="A707" s="57" t="s">
        <v>59</v>
      </c>
      <c r="B707" s="57">
        <v>2022</v>
      </c>
      <c r="C707" s="57">
        <v>2</v>
      </c>
      <c r="D707" s="57">
        <v>1</v>
      </c>
      <c r="F707" s="57">
        <v>0.64400000000000002</v>
      </c>
      <c r="G707" s="57">
        <v>0.36</v>
      </c>
      <c r="H707" s="57">
        <v>0.122</v>
      </c>
      <c r="I707" s="57">
        <v>6.6000000000000003E-2</v>
      </c>
      <c r="J707" s="57">
        <v>1.87</v>
      </c>
      <c r="K707" s="33">
        <f>AVERAGE(1.72,1.74,1.78,1.82)</f>
        <v>1.7650000000000001</v>
      </c>
    </row>
    <row r="708" spans="1:11" x14ac:dyDescent="0.2">
      <c r="A708" s="57" t="s">
        <v>59</v>
      </c>
      <c r="B708" s="57">
        <v>2354</v>
      </c>
      <c r="C708" s="57">
        <v>3</v>
      </c>
      <c r="D708" s="57">
        <v>1</v>
      </c>
      <c r="F708" s="57">
        <v>3.3250000000000002</v>
      </c>
      <c r="G708" s="57">
        <v>1.794</v>
      </c>
      <c r="H708" s="57">
        <v>0.52500000000000002</v>
      </c>
      <c r="I708" s="57">
        <v>0.26</v>
      </c>
      <c r="J708" s="57">
        <v>9.18</v>
      </c>
      <c r="K708" s="33">
        <f>AVERAGE(2.08,2.18,2.26,2.46)</f>
        <v>2.2450000000000001</v>
      </c>
    </row>
    <row r="709" spans="1:11" x14ac:dyDescent="0.2">
      <c r="A709" s="57" t="s">
        <v>159</v>
      </c>
      <c r="B709" s="57">
        <v>2383</v>
      </c>
      <c r="C709" s="57">
        <v>3</v>
      </c>
      <c r="D709" s="57">
        <v>0</v>
      </c>
      <c r="F709" s="57">
        <v>0.67200000000000004</v>
      </c>
      <c r="G709" s="57">
        <v>0.34899999999999998</v>
      </c>
      <c r="H709" s="57">
        <v>0.06</v>
      </c>
      <c r="I709" s="57">
        <v>3.3000000000000002E-2</v>
      </c>
      <c r="J709" s="57">
        <v>1.42</v>
      </c>
      <c r="K709" s="33">
        <f>AVERAGE(1.14,1.4,1.22,1.04)</f>
        <v>1.2</v>
      </c>
    </row>
    <row r="710" spans="1:11" x14ac:dyDescent="0.2">
      <c r="A710" s="57" t="s">
        <v>159</v>
      </c>
      <c r="B710" s="57">
        <v>2343</v>
      </c>
      <c r="C710" s="57">
        <v>3</v>
      </c>
      <c r="D710" s="57">
        <v>0</v>
      </c>
      <c r="F710" s="57">
        <v>1.177</v>
      </c>
      <c r="G710" s="57">
        <v>0.58099999999999996</v>
      </c>
      <c r="H710" s="57">
        <v>0.17499999999999999</v>
      </c>
      <c r="I710" s="57">
        <v>8.4000000000000005E-2</v>
      </c>
      <c r="J710" s="57">
        <v>2.73</v>
      </c>
      <c r="K710" s="33">
        <f>AVERAGE(1.7,1.64,1.56,1.62)</f>
        <v>1.6300000000000001</v>
      </c>
    </row>
    <row r="711" spans="1:11" x14ac:dyDescent="0.2">
      <c r="A711" s="57" t="s">
        <v>159</v>
      </c>
      <c r="B711" s="57">
        <v>2367</v>
      </c>
      <c r="C711" s="57">
        <v>3</v>
      </c>
      <c r="D711" s="57">
        <v>0</v>
      </c>
      <c r="F711" s="57">
        <v>0.77</v>
      </c>
      <c r="G711" s="57">
        <v>0.34399999999999997</v>
      </c>
      <c r="H711" s="57">
        <v>0.109</v>
      </c>
      <c r="I711" s="57">
        <v>5.1999999999999998E-2</v>
      </c>
      <c r="J711" s="57">
        <v>2.06</v>
      </c>
      <c r="K711" s="33">
        <f>AVERAGE(1.11,1.27,1.28,1.16)</f>
        <v>1.2050000000000001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2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3984375" customWidth="1"/>
    <col min="2" max="2" width="8.796875" customWidth="1"/>
    <col min="3" max="3" width="7" customWidth="1"/>
    <col min="4" max="5" width="6.796875" customWidth="1"/>
    <col min="6" max="6" width="5.3984375" customWidth="1"/>
    <col min="7" max="7" width="10.796875" customWidth="1"/>
    <col min="8" max="8" width="10.59765625" customWidth="1"/>
    <col min="9" max="9" width="10.3984375" customWidth="1"/>
    <col min="10" max="10" width="9.19921875" customWidth="1"/>
    <col min="11" max="11" width="9.3984375" customWidth="1"/>
    <col min="12" max="12" width="5.796875" customWidth="1"/>
  </cols>
  <sheetData>
    <row r="1" spans="1:27" x14ac:dyDescent="0.2">
      <c r="A1" s="68" t="s">
        <v>158</v>
      </c>
      <c r="B1" s="68" t="s">
        <v>148</v>
      </c>
      <c r="C1" s="68" t="s">
        <v>165</v>
      </c>
      <c r="D1" s="68" t="s">
        <v>166</v>
      </c>
      <c r="E1" s="68" t="s">
        <v>167</v>
      </c>
      <c r="F1" s="68" t="s">
        <v>150</v>
      </c>
      <c r="G1" s="68" t="s">
        <v>168</v>
      </c>
      <c r="H1" s="68" t="s">
        <v>169</v>
      </c>
      <c r="I1" s="68" t="s">
        <v>170</v>
      </c>
      <c r="J1" s="68" t="s">
        <v>171</v>
      </c>
      <c r="K1" s="68" t="s">
        <v>172</v>
      </c>
      <c r="L1" s="68" t="s">
        <v>128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 spans="1:27" x14ac:dyDescent="0.2">
      <c r="A2" s="70">
        <v>44631</v>
      </c>
      <c r="B2" s="57">
        <v>2383</v>
      </c>
      <c r="C2" s="57" t="s">
        <v>173</v>
      </c>
      <c r="D2" s="57" t="s">
        <v>174</v>
      </c>
      <c r="E2" s="57" t="s">
        <v>175</v>
      </c>
      <c r="F2" s="57">
        <f t="shared" ref="F2:F9" si="0">IF(D2="old",1,0)</f>
        <v>1</v>
      </c>
      <c r="G2" s="57">
        <v>26.317499999999999</v>
      </c>
      <c r="H2" s="57">
        <v>27.842400000000001</v>
      </c>
      <c r="I2" s="57">
        <v>26.891999999999999</v>
      </c>
      <c r="J2" s="33">
        <f t="shared" ref="J2:J256" si="1">H2-G2</f>
        <v>1.5249000000000024</v>
      </c>
      <c r="K2" s="33">
        <f t="shared" ref="K2:K256" si="2">I2-G2</f>
        <v>0.57450000000000045</v>
      </c>
    </row>
    <row r="3" spans="1:27" x14ac:dyDescent="0.2">
      <c r="A3" s="70">
        <v>44635</v>
      </c>
      <c r="B3" s="57">
        <v>2384</v>
      </c>
      <c r="C3" s="57" t="s">
        <v>173</v>
      </c>
      <c r="D3" s="57" t="s">
        <v>174</v>
      </c>
      <c r="E3" s="57" t="s">
        <v>175</v>
      </c>
      <c r="F3" s="57">
        <f t="shared" si="0"/>
        <v>1</v>
      </c>
      <c r="G3" s="57">
        <v>26.575399999999998</v>
      </c>
      <c r="H3" s="57">
        <v>27.321400000000001</v>
      </c>
      <c r="I3" s="57">
        <v>26.950500000000002</v>
      </c>
      <c r="J3" s="33">
        <f t="shared" si="1"/>
        <v>0.74600000000000222</v>
      </c>
      <c r="K3" s="33">
        <f t="shared" si="2"/>
        <v>0.37510000000000332</v>
      </c>
    </row>
    <row r="4" spans="1:27" x14ac:dyDescent="0.2">
      <c r="A4" s="70">
        <v>44631</v>
      </c>
      <c r="B4" s="57">
        <v>2093</v>
      </c>
      <c r="C4" s="57" t="s">
        <v>176</v>
      </c>
      <c r="D4" s="57" t="s">
        <v>174</v>
      </c>
      <c r="E4" s="57" t="s">
        <v>175</v>
      </c>
      <c r="F4" s="57">
        <f t="shared" si="0"/>
        <v>1</v>
      </c>
      <c r="G4" s="57">
        <v>26.715</v>
      </c>
      <c r="H4" s="57">
        <v>28.584099999999999</v>
      </c>
      <c r="I4" s="57">
        <v>27.151499999999999</v>
      </c>
      <c r="J4" s="33">
        <f t="shared" si="1"/>
        <v>1.8690999999999995</v>
      </c>
      <c r="K4" s="33">
        <f t="shared" si="2"/>
        <v>0.43649999999999878</v>
      </c>
    </row>
    <row r="5" spans="1:27" x14ac:dyDescent="0.2">
      <c r="A5" s="70">
        <v>44631</v>
      </c>
      <c r="B5" s="57">
        <v>2007</v>
      </c>
      <c r="C5" s="57" t="s">
        <v>176</v>
      </c>
      <c r="D5" s="57" t="s">
        <v>174</v>
      </c>
      <c r="E5" s="57" t="s">
        <v>175</v>
      </c>
      <c r="F5" s="57">
        <f t="shared" si="0"/>
        <v>1</v>
      </c>
      <c r="G5" s="57">
        <v>25.996400000000001</v>
      </c>
      <c r="H5" s="57">
        <v>27.995799999999999</v>
      </c>
      <c r="I5" s="57">
        <v>26.942699999999999</v>
      </c>
      <c r="J5" s="33">
        <f t="shared" si="1"/>
        <v>1.9993999999999978</v>
      </c>
      <c r="K5" s="33">
        <f t="shared" si="2"/>
        <v>0.94629999999999725</v>
      </c>
    </row>
    <row r="6" spans="1:27" x14ac:dyDescent="0.2">
      <c r="A6" s="70">
        <v>44635</v>
      </c>
      <c r="B6" s="57">
        <v>2352</v>
      </c>
      <c r="C6" s="57" t="s">
        <v>173</v>
      </c>
      <c r="D6" s="57" t="s">
        <v>177</v>
      </c>
      <c r="E6" s="57" t="s">
        <v>175</v>
      </c>
      <c r="F6" s="57">
        <f t="shared" si="0"/>
        <v>0</v>
      </c>
      <c r="G6" s="57">
        <v>26.134899999999998</v>
      </c>
      <c r="H6" s="57">
        <v>27.369800000000001</v>
      </c>
      <c r="I6" s="57">
        <v>26.6372</v>
      </c>
      <c r="J6" s="33">
        <f t="shared" si="1"/>
        <v>1.2349000000000032</v>
      </c>
      <c r="K6" s="33">
        <f t="shared" si="2"/>
        <v>0.50230000000000175</v>
      </c>
    </row>
    <row r="7" spans="1:27" x14ac:dyDescent="0.2">
      <c r="A7" s="70">
        <v>44628</v>
      </c>
      <c r="B7" s="57">
        <v>2381</v>
      </c>
      <c r="C7" s="57" t="s">
        <v>173</v>
      </c>
      <c r="D7" s="57" t="s">
        <v>177</v>
      </c>
      <c r="E7" s="57" t="s">
        <v>175</v>
      </c>
      <c r="F7" s="57">
        <f t="shared" si="0"/>
        <v>0</v>
      </c>
      <c r="G7" s="57">
        <v>26.363499999999998</v>
      </c>
      <c r="H7" s="57">
        <v>26.72</v>
      </c>
      <c r="I7" s="57">
        <v>26.648299999999999</v>
      </c>
      <c r="J7" s="33">
        <f t="shared" si="1"/>
        <v>0.35650000000000048</v>
      </c>
      <c r="K7" s="33">
        <f t="shared" si="2"/>
        <v>0.28480000000000061</v>
      </c>
    </row>
    <row r="8" spans="1:27" x14ac:dyDescent="0.2">
      <c r="A8" s="70">
        <v>44631</v>
      </c>
      <c r="B8" s="57">
        <v>2389</v>
      </c>
      <c r="C8" s="57" t="s">
        <v>176</v>
      </c>
      <c r="D8" s="57" t="s">
        <v>177</v>
      </c>
      <c r="E8" s="57" t="s">
        <v>178</v>
      </c>
      <c r="F8" s="57">
        <f t="shared" si="0"/>
        <v>0</v>
      </c>
      <c r="G8" s="57">
        <v>27.102499999999999</v>
      </c>
      <c r="H8" s="57">
        <v>31.121400000000001</v>
      </c>
      <c r="I8" s="57">
        <v>29.342099999999999</v>
      </c>
      <c r="J8" s="33">
        <f t="shared" si="1"/>
        <v>4.0189000000000021</v>
      </c>
      <c r="K8" s="33">
        <f t="shared" si="2"/>
        <v>2.2395999999999994</v>
      </c>
    </row>
    <row r="9" spans="1:27" x14ac:dyDescent="0.2">
      <c r="A9" s="70">
        <v>44628</v>
      </c>
      <c r="B9" s="57">
        <v>2378</v>
      </c>
      <c r="C9" s="57" t="s">
        <v>176</v>
      </c>
      <c r="D9" s="57" t="s">
        <v>177</v>
      </c>
      <c r="E9" s="57" t="s">
        <v>175</v>
      </c>
      <c r="F9" s="57">
        <f t="shared" si="0"/>
        <v>0</v>
      </c>
      <c r="G9" s="57">
        <v>26.532699999999998</v>
      </c>
      <c r="H9" s="57">
        <v>26.762899999999998</v>
      </c>
      <c r="I9" s="57">
        <v>26.7742</v>
      </c>
      <c r="J9" s="33">
        <f t="shared" si="1"/>
        <v>0.23019999999999996</v>
      </c>
      <c r="K9" s="33">
        <f t="shared" si="2"/>
        <v>0.24150000000000205</v>
      </c>
    </row>
    <row r="10" spans="1:27" x14ac:dyDescent="0.2">
      <c r="A10" s="70">
        <v>44635</v>
      </c>
      <c r="B10" s="57">
        <v>2092</v>
      </c>
      <c r="C10" s="57" t="s">
        <v>173</v>
      </c>
      <c r="D10" s="57" t="s">
        <v>174</v>
      </c>
      <c r="E10" s="57" t="s">
        <v>175</v>
      </c>
      <c r="F10" s="57">
        <v>2</v>
      </c>
      <c r="G10" s="57">
        <v>26.153500000000001</v>
      </c>
      <c r="H10" s="57">
        <v>27.6492</v>
      </c>
      <c r="I10" s="57">
        <v>26.995799999999999</v>
      </c>
      <c r="J10" s="33">
        <f t="shared" si="1"/>
        <v>1.4956999999999994</v>
      </c>
      <c r="K10" s="33">
        <f t="shared" si="2"/>
        <v>0.84229999999999805</v>
      </c>
    </row>
    <row r="11" spans="1:27" x14ac:dyDescent="0.2">
      <c r="A11" s="70">
        <v>44631</v>
      </c>
      <c r="B11" s="57">
        <v>2004</v>
      </c>
      <c r="C11" s="57" t="s">
        <v>173</v>
      </c>
      <c r="D11" s="57" t="s">
        <v>174</v>
      </c>
      <c r="E11" s="57" t="s">
        <v>175</v>
      </c>
      <c r="F11" s="57">
        <f t="shared" ref="F11:F17" si="3">IF(D11="old",1,0)</f>
        <v>1</v>
      </c>
      <c r="G11" s="57">
        <v>27.343599999999999</v>
      </c>
      <c r="H11" s="57">
        <v>29.4057</v>
      </c>
      <c r="I11" s="57">
        <v>28.3781</v>
      </c>
      <c r="J11" s="33">
        <f t="shared" si="1"/>
        <v>2.0621000000000009</v>
      </c>
      <c r="K11" s="33">
        <f t="shared" si="2"/>
        <v>1.0345000000000013</v>
      </c>
    </row>
    <row r="12" spans="1:27" x14ac:dyDescent="0.2">
      <c r="A12" s="70">
        <v>44628</v>
      </c>
      <c r="B12" s="57">
        <v>2382</v>
      </c>
      <c r="C12" s="57" t="s">
        <v>173</v>
      </c>
      <c r="D12" s="57" t="s">
        <v>177</v>
      </c>
      <c r="E12" s="57" t="s">
        <v>175</v>
      </c>
      <c r="F12" s="57">
        <f t="shared" si="3"/>
        <v>0</v>
      </c>
      <c r="G12" s="57">
        <v>26.164300000000001</v>
      </c>
      <c r="H12" s="57">
        <v>27.642099999999999</v>
      </c>
      <c r="I12" s="57">
        <v>26.5199</v>
      </c>
      <c r="J12" s="33">
        <f t="shared" si="1"/>
        <v>1.4777999999999984</v>
      </c>
      <c r="K12" s="33">
        <f t="shared" si="2"/>
        <v>0.35559999999999903</v>
      </c>
    </row>
    <row r="13" spans="1:27" x14ac:dyDescent="0.2">
      <c r="A13" s="70">
        <v>44635</v>
      </c>
      <c r="B13" s="57">
        <v>2023</v>
      </c>
      <c r="C13" s="57" t="s">
        <v>173</v>
      </c>
      <c r="D13" s="57" t="s">
        <v>177</v>
      </c>
      <c r="E13" s="57" t="s">
        <v>175</v>
      </c>
      <c r="F13" s="57">
        <f t="shared" si="3"/>
        <v>0</v>
      </c>
      <c r="G13" s="57">
        <v>26.3751</v>
      </c>
      <c r="H13" s="57">
        <v>27.3233</v>
      </c>
      <c r="I13" s="57">
        <v>26.597999999999999</v>
      </c>
      <c r="J13" s="33">
        <f t="shared" si="1"/>
        <v>0.94819999999999993</v>
      </c>
      <c r="K13" s="33">
        <f t="shared" si="2"/>
        <v>0.22289999999999921</v>
      </c>
    </row>
    <row r="14" spans="1:27" x14ac:dyDescent="0.2">
      <c r="A14" s="70">
        <v>44628</v>
      </c>
      <c r="B14" s="57">
        <v>2382</v>
      </c>
      <c r="C14" s="57" t="s">
        <v>176</v>
      </c>
      <c r="D14" s="57" t="s">
        <v>177</v>
      </c>
      <c r="E14" s="57" t="s">
        <v>175</v>
      </c>
      <c r="F14" s="57">
        <f t="shared" si="3"/>
        <v>0</v>
      </c>
      <c r="G14" s="57">
        <v>26.2638</v>
      </c>
      <c r="H14" s="57">
        <v>27.7422</v>
      </c>
      <c r="I14" s="57">
        <v>26.7896</v>
      </c>
      <c r="J14" s="33">
        <f t="shared" si="1"/>
        <v>1.4784000000000006</v>
      </c>
      <c r="K14" s="33">
        <f t="shared" si="2"/>
        <v>0.52580000000000027</v>
      </c>
    </row>
    <row r="15" spans="1:27" x14ac:dyDescent="0.2">
      <c r="A15" s="70">
        <v>44635</v>
      </c>
      <c r="B15" s="57">
        <v>2022</v>
      </c>
      <c r="C15" s="57" t="s">
        <v>173</v>
      </c>
      <c r="D15" s="57" t="s">
        <v>174</v>
      </c>
      <c r="E15" s="57" t="s">
        <v>175</v>
      </c>
      <c r="F15" s="57">
        <f t="shared" si="3"/>
        <v>1</v>
      </c>
      <c r="G15" s="57">
        <v>25.5854</v>
      </c>
      <c r="H15" s="57">
        <v>27.1343</v>
      </c>
      <c r="I15" s="57">
        <v>26.173200000000001</v>
      </c>
      <c r="J15" s="33">
        <f t="shared" si="1"/>
        <v>1.5488999999999997</v>
      </c>
      <c r="K15" s="33">
        <f t="shared" si="2"/>
        <v>0.58780000000000143</v>
      </c>
    </row>
    <row r="16" spans="1:27" x14ac:dyDescent="0.2">
      <c r="A16" s="70">
        <v>44628</v>
      </c>
      <c r="B16" s="57">
        <v>2377</v>
      </c>
      <c r="C16" s="57" t="s">
        <v>176</v>
      </c>
      <c r="D16" s="57" t="s">
        <v>177</v>
      </c>
      <c r="E16" s="57" t="s">
        <v>175</v>
      </c>
      <c r="F16" s="57">
        <f t="shared" si="3"/>
        <v>0</v>
      </c>
      <c r="G16" s="57">
        <v>25.911799999999999</v>
      </c>
      <c r="H16" s="57">
        <v>26.7742</v>
      </c>
      <c r="I16" s="57">
        <v>26.2059</v>
      </c>
      <c r="J16" s="33">
        <f t="shared" si="1"/>
        <v>0.86240000000000094</v>
      </c>
      <c r="K16" s="33">
        <f t="shared" si="2"/>
        <v>0.29410000000000025</v>
      </c>
    </row>
    <row r="17" spans="1:11" x14ac:dyDescent="0.2">
      <c r="A17" s="70">
        <v>44635</v>
      </c>
      <c r="B17" s="57">
        <v>2024</v>
      </c>
      <c r="C17" s="57" t="s">
        <v>173</v>
      </c>
      <c r="D17" s="57" t="s">
        <v>177</v>
      </c>
      <c r="E17" s="57" t="s">
        <v>175</v>
      </c>
      <c r="F17" s="57">
        <f t="shared" si="3"/>
        <v>0</v>
      </c>
      <c r="G17" s="57">
        <v>25.502199999999998</v>
      </c>
      <c r="H17" s="57">
        <v>26.775099999999998</v>
      </c>
      <c r="I17" s="57">
        <v>26</v>
      </c>
      <c r="J17" s="33">
        <f t="shared" si="1"/>
        <v>1.2728999999999999</v>
      </c>
      <c r="K17" s="33">
        <f t="shared" si="2"/>
        <v>0.49780000000000157</v>
      </c>
    </row>
    <row r="18" spans="1:11" x14ac:dyDescent="0.2">
      <c r="A18" s="70">
        <v>44635</v>
      </c>
      <c r="B18" s="57">
        <v>2091</v>
      </c>
      <c r="C18" s="57" t="s">
        <v>173</v>
      </c>
      <c r="D18" s="57" t="s">
        <v>174</v>
      </c>
      <c r="E18" s="57" t="s">
        <v>175</v>
      </c>
      <c r="F18" s="57">
        <v>2</v>
      </c>
      <c r="G18" s="57">
        <v>26.593800000000002</v>
      </c>
      <c r="H18" s="57">
        <v>27.2196</v>
      </c>
      <c r="I18" s="57">
        <v>27.206099999999999</v>
      </c>
      <c r="J18" s="33">
        <f t="shared" si="1"/>
        <v>0.62579999999999814</v>
      </c>
      <c r="K18" s="33">
        <f t="shared" si="2"/>
        <v>0.61229999999999762</v>
      </c>
    </row>
    <row r="19" spans="1:11" x14ac:dyDescent="0.2">
      <c r="A19" s="70">
        <v>44635</v>
      </c>
      <c r="B19" s="57">
        <v>2383</v>
      </c>
      <c r="C19" s="57" t="s">
        <v>173</v>
      </c>
      <c r="D19" s="57" t="s">
        <v>174</v>
      </c>
      <c r="E19" s="57" t="s">
        <v>175</v>
      </c>
      <c r="F19" s="57">
        <f t="shared" ref="F19:F73" si="4">IF(D19="old",1,0)</f>
        <v>1</v>
      </c>
      <c r="G19" s="57">
        <v>26.559799999999999</v>
      </c>
      <c r="H19" s="57">
        <v>27.023800000000001</v>
      </c>
      <c r="I19" s="57">
        <v>27.052399999999999</v>
      </c>
      <c r="J19" s="33">
        <f t="shared" si="1"/>
        <v>0.46400000000000219</v>
      </c>
      <c r="K19" s="33">
        <f t="shared" si="2"/>
        <v>0.49259999999999948</v>
      </c>
    </row>
    <row r="20" spans="1:11" x14ac:dyDescent="0.2">
      <c r="A20" s="70">
        <v>44631</v>
      </c>
      <c r="B20" s="57">
        <v>2027</v>
      </c>
      <c r="C20" s="57" t="s">
        <v>176</v>
      </c>
      <c r="D20" s="57" t="s">
        <v>174</v>
      </c>
      <c r="E20" s="57" t="s">
        <v>175</v>
      </c>
      <c r="F20" s="57">
        <f t="shared" si="4"/>
        <v>1</v>
      </c>
      <c r="G20" s="57">
        <v>26.638300000000001</v>
      </c>
      <c r="H20" s="57">
        <v>28.2547</v>
      </c>
      <c r="I20" s="57">
        <v>27.4146</v>
      </c>
      <c r="J20" s="33">
        <f t="shared" si="1"/>
        <v>1.6163999999999987</v>
      </c>
      <c r="K20" s="33">
        <f t="shared" si="2"/>
        <v>0.7762999999999991</v>
      </c>
    </row>
    <row r="21" spans="1:11" x14ac:dyDescent="0.2">
      <c r="A21" s="70">
        <v>44628</v>
      </c>
      <c r="B21" s="57">
        <v>2380</v>
      </c>
      <c r="C21" s="57" t="s">
        <v>173</v>
      </c>
      <c r="D21" s="57" t="s">
        <v>174</v>
      </c>
      <c r="E21" s="57" t="s">
        <v>178</v>
      </c>
      <c r="F21" s="57">
        <f t="shared" si="4"/>
        <v>1</v>
      </c>
      <c r="G21" s="57">
        <v>26.170300000000001</v>
      </c>
      <c r="H21" s="57">
        <v>34.219099999999997</v>
      </c>
      <c r="I21" s="57">
        <v>30.810300000000002</v>
      </c>
      <c r="J21" s="33">
        <f t="shared" si="1"/>
        <v>8.0487999999999964</v>
      </c>
      <c r="K21" s="33">
        <f t="shared" si="2"/>
        <v>4.6400000000000006</v>
      </c>
    </row>
    <row r="22" spans="1:11" x14ac:dyDescent="0.2">
      <c r="A22" s="70">
        <v>44628</v>
      </c>
      <c r="B22" s="57">
        <v>2381</v>
      </c>
      <c r="C22" s="57" t="s">
        <v>176</v>
      </c>
      <c r="D22" s="57" t="s">
        <v>174</v>
      </c>
      <c r="E22" s="57" t="s">
        <v>175</v>
      </c>
      <c r="F22" s="57">
        <f t="shared" si="4"/>
        <v>1</v>
      </c>
      <c r="G22" s="57">
        <v>26.436399999999999</v>
      </c>
      <c r="H22" s="57">
        <v>29.177600000000002</v>
      </c>
      <c r="I22" s="57">
        <v>27.7775</v>
      </c>
      <c r="J22" s="33">
        <f t="shared" si="1"/>
        <v>2.7412000000000027</v>
      </c>
      <c r="K22" s="33">
        <f t="shared" si="2"/>
        <v>1.3411000000000008</v>
      </c>
    </row>
    <row r="23" spans="1:11" x14ac:dyDescent="0.2">
      <c r="A23" s="70">
        <v>44631</v>
      </c>
      <c r="B23" s="57">
        <v>2004</v>
      </c>
      <c r="C23" s="57" t="s">
        <v>173</v>
      </c>
      <c r="D23" s="57" t="s">
        <v>177</v>
      </c>
      <c r="E23" s="57" t="s">
        <v>175</v>
      </c>
      <c r="F23" s="57">
        <f t="shared" si="4"/>
        <v>0</v>
      </c>
      <c r="G23" s="57">
        <v>26.083100000000002</v>
      </c>
      <c r="H23" s="57">
        <v>26.821999999999999</v>
      </c>
      <c r="I23" s="57">
        <v>26.289899999999999</v>
      </c>
      <c r="J23" s="33">
        <f t="shared" si="1"/>
        <v>0.73889999999999745</v>
      </c>
      <c r="K23" s="33">
        <f t="shared" si="2"/>
        <v>0.20679999999999765</v>
      </c>
    </row>
    <row r="24" spans="1:11" x14ac:dyDescent="0.2">
      <c r="A24" s="70">
        <v>44631</v>
      </c>
      <c r="B24" s="57">
        <v>2354</v>
      </c>
      <c r="C24" s="57" t="s">
        <v>173</v>
      </c>
      <c r="D24" s="57" t="s">
        <v>177</v>
      </c>
      <c r="E24" s="57" t="s">
        <v>178</v>
      </c>
      <c r="F24" s="57">
        <f t="shared" si="4"/>
        <v>0</v>
      </c>
      <c r="G24" s="57">
        <v>26.1188</v>
      </c>
      <c r="H24" s="57">
        <v>27.624199999999998</v>
      </c>
      <c r="I24" s="57">
        <v>26.553999999999998</v>
      </c>
      <c r="J24" s="33">
        <f t="shared" si="1"/>
        <v>1.5053999999999981</v>
      </c>
      <c r="K24" s="33">
        <f t="shared" si="2"/>
        <v>0.43519999999999825</v>
      </c>
    </row>
    <row r="25" spans="1:11" x14ac:dyDescent="0.2">
      <c r="A25" s="70">
        <v>44635</v>
      </c>
      <c r="B25" s="57">
        <v>2025</v>
      </c>
      <c r="C25" s="57" t="s">
        <v>173</v>
      </c>
      <c r="D25" s="57" t="s">
        <v>174</v>
      </c>
      <c r="E25" s="57" t="s">
        <v>175</v>
      </c>
      <c r="F25" s="57">
        <f t="shared" si="4"/>
        <v>1</v>
      </c>
      <c r="G25" s="57">
        <v>25.916499999999999</v>
      </c>
      <c r="H25" s="57">
        <v>27.5443</v>
      </c>
      <c r="I25" s="57">
        <v>26.719200000000001</v>
      </c>
      <c r="J25" s="33">
        <f t="shared" si="1"/>
        <v>1.6278000000000006</v>
      </c>
      <c r="K25" s="33">
        <f t="shared" si="2"/>
        <v>0.80270000000000152</v>
      </c>
    </row>
    <row r="26" spans="1:11" x14ac:dyDescent="0.2">
      <c r="A26" s="70">
        <v>44631</v>
      </c>
      <c r="B26" s="57">
        <v>2020</v>
      </c>
      <c r="C26" s="57" t="s">
        <v>176</v>
      </c>
      <c r="D26" s="57" t="s">
        <v>174</v>
      </c>
      <c r="E26" s="57" t="s">
        <v>175</v>
      </c>
      <c r="F26" s="57">
        <f t="shared" si="4"/>
        <v>1</v>
      </c>
      <c r="G26" s="57">
        <v>26.114599999999999</v>
      </c>
      <c r="H26" s="57">
        <v>27.750599999999999</v>
      </c>
      <c r="I26" s="57">
        <v>26.891100000000002</v>
      </c>
      <c r="J26" s="33">
        <f t="shared" si="1"/>
        <v>1.6359999999999992</v>
      </c>
      <c r="K26" s="33">
        <f t="shared" si="2"/>
        <v>0.77650000000000219</v>
      </c>
    </row>
    <row r="27" spans="1:11" x14ac:dyDescent="0.2">
      <c r="A27" s="70">
        <v>44635</v>
      </c>
      <c r="B27" s="57">
        <v>2020</v>
      </c>
      <c r="C27" s="57" t="s">
        <v>173</v>
      </c>
      <c r="D27" s="57" t="s">
        <v>174</v>
      </c>
      <c r="E27" s="57" t="s">
        <v>175</v>
      </c>
      <c r="F27" s="57">
        <f t="shared" si="4"/>
        <v>1</v>
      </c>
      <c r="G27" s="57">
        <v>25.281700000000001</v>
      </c>
      <c r="H27" s="57">
        <v>27.282699999999998</v>
      </c>
      <c r="I27" s="57">
        <v>25.988800000000001</v>
      </c>
      <c r="J27" s="33">
        <f t="shared" si="1"/>
        <v>2.0009999999999977</v>
      </c>
      <c r="K27" s="33">
        <f t="shared" si="2"/>
        <v>0.70710000000000051</v>
      </c>
    </row>
    <row r="28" spans="1:11" x14ac:dyDescent="0.2">
      <c r="A28" s="70">
        <v>44628</v>
      </c>
      <c r="B28" s="57">
        <v>2377</v>
      </c>
      <c r="C28" s="57" t="s">
        <v>176</v>
      </c>
      <c r="D28" s="57" t="s">
        <v>174</v>
      </c>
      <c r="E28" s="57" t="s">
        <v>175</v>
      </c>
      <c r="F28" s="57">
        <f t="shared" si="4"/>
        <v>1</v>
      </c>
      <c r="G28" s="57">
        <v>26.318300000000001</v>
      </c>
      <c r="H28" s="57">
        <v>27.6221</v>
      </c>
      <c r="I28" s="57">
        <v>27.044599999999999</v>
      </c>
      <c r="J28" s="33">
        <f t="shared" si="1"/>
        <v>1.303799999999999</v>
      </c>
      <c r="K28" s="33">
        <f t="shared" si="2"/>
        <v>0.72629999999999839</v>
      </c>
    </row>
    <row r="29" spans="1:11" x14ac:dyDescent="0.2">
      <c r="A29" s="70">
        <v>44631</v>
      </c>
      <c r="B29" s="57">
        <v>2004</v>
      </c>
      <c r="C29" s="57" t="s">
        <v>173</v>
      </c>
      <c r="D29" s="57" t="s">
        <v>177</v>
      </c>
      <c r="E29" s="57" t="s">
        <v>178</v>
      </c>
      <c r="F29" s="57">
        <f t="shared" si="4"/>
        <v>0</v>
      </c>
      <c r="G29" s="57">
        <v>26.507899999999999</v>
      </c>
      <c r="H29" s="57">
        <v>30.8444</v>
      </c>
      <c r="I29" s="57">
        <v>27.8247</v>
      </c>
      <c r="J29" s="33">
        <f t="shared" si="1"/>
        <v>4.3365000000000009</v>
      </c>
      <c r="K29" s="33">
        <f t="shared" si="2"/>
        <v>1.3168000000000006</v>
      </c>
    </row>
    <row r="30" spans="1:11" x14ac:dyDescent="0.2">
      <c r="A30" s="70">
        <v>44628</v>
      </c>
      <c r="B30" s="57">
        <v>2378</v>
      </c>
      <c r="C30" s="57" t="s">
        <v>176</v>
      </c>
      <c r="D30" s="57" t="s">
        <v>177</v>
      </c>
      <c r="E30" s="57" t="s">
        <v>178</v>
      </c>
      <c r="F30" s="57">
        <f t="shared" si="4"/>
        <v>0</v>
      </c>
      <c r="G30" s="57">
        <v>26.115600000000001</v>
      </c>
      <c r="H30" s="57">
        <v>31.939800000000002</v>
      </c>
      <c r="I30" s="57">
        <v>28.3978</v>
      </c>
      <c r="J30" s="33">
        <f t="shared" si="1"/>
        <v>5.8242000000000012</v>
      </c>
      <c r="K30" s="33">
        <f t="shared" si="2"/>
        <v>2.2821999999999996</v>
      </c>
    </row>
    <row r="31" spans="1:11" x14ac:dyDescent="0.2">
      <c r="A31" s="70">
        <v>44628</v>
      </c>
      <c r="B31" s="57">
        <v>2007</v>
      </c>
      <c r="C31" s="57" t="s">
        <v>176</v>
      </c>
      <c r="D31" s="57" t="s">
        <v>177</v>
      </c>
      <c r="E31" s="57" t="s">
        <v>175</v>
      </c>
      <c r="F31" s="57">
        <f t="shared" si="4"/>
        <v>0</v>
      </c>
      <c r="G31" s="57">
        <v>26.235900000000001</v>
      </c>
      <c r="H31" s="57">
        <v>27.275400000000001</v>
      </c>
      <c r="I31" s="57">
        <v>26.6218</v>
      </c>
      <c r="J31" s="33">
        <f t="shared" si="1"/>
        <v>1.0395000000000003</v>
      </c>
      <c r="K31" s="33">
        <f t="shared" si="2"/>
        <v>0.38589999999999947</v>
      </c>
    </row>
    <row r="32" spans="1:11" x14ac:dyDescent="0.2">
      <c r="A32" s="70">
        <v>44635</v>
      </c>
      <c r="B32" s="57">
        <v>2092</v>
      </c>
      <c r="C32" s="57" t="s">
        <v>173</v>
      </c>
      <c r="D32" s="57" t="s">
        <v>177</v>
      </c>
      <c r="E32" s="57" t="s">
        <v>178</v>
      </c>
      <c r="F32" s="57">
        <f t="shared" si="4"/>
        <v>0</v>
      </c>
      <c r="G32" s="57">
        <v>26.295200000000001</v>
      </c>
      <c r="H32" s="57">
        <v>39.591099999999997</v>
      </c>
      <c r="I32" s="57">
        <v>29.3156</v>
      </c>
      <c r="J32" s="33">
        <f t="shared" si="1"/>
        <v>13.295899999999996</v>
      </c>
      <c r="K32" s="33">
        <f t="shared" si="2"/>
        <v>3.0203999999999986</v>
      </c>
    </row>
    <row r="33" spans="1:11" x14ac:dyDescent="0.2">
      <c r="A33" s="70">
        <v>44631</v>
      </c>
      <c r="B33" s="57">
        <v>2383</v>
      </c>
      <c r="C33" s="57" t="s">
        <v>173</v>
      </c>
      <c r="D33" s="57" t="s">
        <v>177</v>
      </c>
      <c r="E33" s="57" t="s">
        <v>178</v>
      </c>
      <c r="F33" s="57">
        <f t="shared" si="4"/>
        <v>0</v>
      </c>
      <c r="G33" s="57">
        <v>26.591000000000001</v>
      </c>
      <c r="H33" s="57">
        <v>32.874499999999998</v>
      </c>
      <c r="I33" s="57">
        <v>28.8415</v>
      </c>
      <c r="J33" s="33">
        <f t="shared" si="1"/>
        <v>6.2834999999999965</v>
      </c>
      <c r="K33" s="33">
        <f t="shared" si="2"/>
        <v>2.2504999999999988</v>
      </c>
    </row>
    <row r="34" spans="1:11" x14ac:dyDescent="0.2">
      <c r="A34" s="70">
        <v>44628</v>
      </c>
      <c r="B34" s="57">
        <v>2345</v>
      </c>
      <c r="C34" s="57" t="s">
        <v>173</v>
      </c>
      <c r="D34" s="57" t="s">
        <v>174</v>
      </c>
      <c r="E34" s="57" t="s">
        <v>178</v>
      </c>
      <c r="F34" s="57">
        <f t="shared" si="4"/>
        <v>1</v>
      </c>
      <c r="G34" s="57">
        <v>26.293600000000001</v>
      </c>
      <c r="H34" s="57">
        <v>35.796500000000002</v>
      </c>
      <c r="I34" s="57">
        <v>31.415500000000002</v>
      </c>
      <c r="J34" s="33">
        <f t="shared" si="1"/>
        <v>9.5029000000000003</v>
      </c>
      <c r="K34" s="33">
        <f t="shared" si="2"/>
        <v>5.1219000000000001</v>
      </c>
    </row>
    <row r="35" spans="1:11" x14ac:dyDescent="0.2">
      <c r="A35" s="70">
        <v>44631</v>
      </c>
      <c r="B35" s="57">
        <v>2379</v>
      </c>
      <c r="C35" s="57" t="s">
        <v>173</v>
      </c>
      <c r="D35" s="57" t="s">
        <v>177</v>
      </c>
      <c r="E35" s="57" t="s">
        <v>175</v>
      </c>
      <c r="F35" s="57">
        <f t="shared" si="4"/>
        <v>0</v>
      </c>
      <c r="G35" s="57">
        <v>26.008600000000001</v>
      </c>
      <c r="H35" s="57">
        <v>26.758400000000002</v>
      </c>
      <c r="I35" s="57">
        <v>26.271100000000001</v>
      </c>
      <c r="J35" s="33">
        <f t="shared" si="1"/>
        <v>0.74980000000000047</v>
      </c>
      <c r="K35" s="33">
        <f t="shared" si="2"/>
        <v>0.26249999999999929</v>
      </c>
    </row>
    <row r="36" spans="1:11" x14ac:dyDescent="0.2">
      <c r="A36" s="70">
        <v>44628</v>
      </c>
      <c r="B36" s="57">
        <v>2384</v>
      </c>
      <c r="C36" s="57" t="s">
        <v>173</v>
      </c>
      <c r="D36" s="57" t="s">
        <v>177</v>
      </c>
      <c r="E36" s="57" t="s">
        <v>178</v>
      </c>
      <c r="F36" s="57">
        <f t="shared" si="4"/>
        <v>0</v>
      </c>
      <c r="G36" s="57">
        <v>26.284099999999999</v>
      </c>
      <c r="H36" s="57">
        <v>32.672199999999997</v>
      </c>
      <c r="I36" s="57">
        <v>28.404299999999999</v>
      </c>
      <c r="J36" s="33">
        <f t="shared" si="1"/>
        <v>6.3880999999999979</v>
      </c>
      <c r="K36" s="33">
        <f t="shared" si="2"/>
        <v>2.1202000000000005</v>
      </c>
    </row>
    <row r="37" spans="1:11" x14ac:dyDescent="0.2">
      <c r="A37" s="70">
        <v>44631</v>
      </c>
      <c r="B37" s="57">
        <v>2004</v>
      </c>
      <c r="C37" s="57" t="s">
        <v>176</v>
      </c>
      <c r="D37" s="57" t="s">
        <v>177</v>
      </c>
      <c r="E37" s="57" t="s">
        <v>178</v>
      </c>
      <c r="F37" s="57">
        <f t="shared" si="4"/>
        <v>0</v>
      </c>
      <c r="G37" s="57">
        <v>26.160399999999999</v>
      </c>
      <c r="H37" s="57">
        <v>39.171399999999998</v>
      </c>
      <c r="I37" s="57">
        <v>30.988800000000001</v>
      </c>
      <c r="J37" s="33">
        <f t="shared" si="1"/>
        <v>13.010999999999999</v>
      </c>
      <c r="K37" s="33">
        <f t="shared" si="2"/>
        <v>4.828400000000002</v>
      </c>
    </row>
    <row r="38" spans="1:11" x14ac:dyDescent="0.2">
      <c r="A38" s="70">
        <v>44628</v>
      </c>
      <c r="B38" s="57">
        <v>2380</v>
      </c>
      <c r="C38" s="57" t="s">
        <v>173</v>
      </c>
      <c r="D38" s="57" t="s">
        <v>177</v>
      </c>
      <c r="E38" s="57" t="s">
        <v>178</v>
      </c>
      <c r="F38" s="57">
        <f t="shared" si="4"/>
        <v>0</v>
      </c>
      <c r="G38" s="57">
        <v>25.598199999999999</v>
      </c>
      <c r="H38" s="57">
        <v>31.034099999999999</v>
      </c>
      <c r="I38" s="57">
        <v>27.294699999999999</v>
      </c>
      <c r="J38" s="33">
        <f t="shared" si="1"/>
        <v>5.4359000000000002</v>
      </c>
      <c r="K38" s="33">
        <f t="shared" si="2"/>
        <v>1.6965000000000003</v>
      </c>
    </row>
    <row r="39" spans="1:11" x14ac:dyDescent="0.2">
      <c r="A39" s="70">
        <v>44635</v>
      </c>
      <c r="B39" s="57">
        <v>2382</v>
      </c>
      <c r="C39" s="57" t="s">
        <v>173</v>
      </c>
      <c r="D39" s="57" t="s">
        <v>177</v>
      </c>
      <c r="E39" s="57" t="s">
        <v>175</v>
      </c>
      <c r="F39" s="57">
        <f t="shared" si="4"/>
        <v>0</v>
      </c>
      <c r="G39" s="57">
        <v>25.7013</v>
      </c>
      <c r="H39" s="57">
        <v>26.169499999999999</v>
      </c>
      <c r="I39" s="57">
        <v>25.895499999999998</v>
      </c>
      <c r="J39" s="33">
        <f t="shared" si="1"/>
        <v>0.46819999999999951</v>
      </c>
      <c r="K39" s="33">
        <f t="shared" si="2"/>
        <v>0.1941999999999986</v>
      </c>
    </row>
    <row r="40" spans="1:11" x14ac:dyDescent="0.2">
      <c r="A40" s="70">
        <v>44628</v>
      </c>
      <c r="B40" s="57">
        <v>2380</v>
      </c>
      <c r="C40" s="57" t="s">
        <v>173</v>
      </c>
      <c r="D40" s="57" t="s">
        <v>177</v>
      </c>
      <c r="E40" s="57" t="s">
        <v>175</v>
      </c>
      <c r="F40" s="57">
        <f t="shared" si="4"/>
        <v>0</v>
      </c>
      <c r="G40" s="57">
        <v>25.822500000000002</v>
      </c>
      <c r="H40" s="57">
        <v>27.353400000000001</v>
      </c>
      <c r="I40" s="57">
        <v>26.1374</v>
      </c>
      <c r="J40" s="33">
        <f t="shared" si="1"/>
        <v>1.530899999999999</v>
      </c>
      <c r="K40" s="33">
        <f t="shared" si="2"/>
        <v>0.31489999999999796</v>
      </c>
    </row>
    <row r="41" spans="1:11" x14ac:dyDescent="0.2">
      <c r="A41" s="70">
        <v>44635</v>
      </c>
      <c r="B41" s="57">
        <v>2021</v>
      </c>
      <c r="C41" s="57" t="s">
        <v>173</v>
      </c>
      <c r="D41" s="57" t="s">
        <v>177</v>
      </c>
      <c r="E41" s="57" t="s">
        <v>175</v>
      </c>
      <c r="F41" s="57">
        <f t="shared" si="4"/>
        <v>0</v>
      </c>
      <c r="G41" s="57">
        <v>26.177600000000002</v>
      </c>
      <c r="H41" s="57">
        <v>26.6586</v>
      </c>
      <c r="I41" s="57">
        <v>26.365100000000002</v>
      </c>
      <c r="J41" s="33">
        <f t="shared" si="1"/>
        <v>0.4809999999999981</v>
      </c>
      <c r="K41" s="33">
        <f t="shared" si="2"/>
        <v>0.1875</v>
      </c>
    </row>
    <row r="42" spans="1:11" x14ac:dyDescent="0.2">
      <c r="A42" s="70">
        <v>44631</v>
      </c>
      <c r="B42" s="57">
        <v>2006</v>
      </c>
      <c r="C42" s="57" t="s">
        <v>176</v>
      </c>
      <c r="D42" s="57" t="s">
        <v>177</v>
      </c>
      <c r="E42" s="57" t="s">
        <v>175</v>
      </c>
      <c r="F42" s="57">
        <f t="shared" si="4"/>
        <v>0</v>
      </c>
      <c r="G42" s="57">
        <v>26.695</v>
      </c>
      <c r="H42" s="57">
        <v>28.1281</v>
      </c>
      <c r="I42" s="57">
        <v>27.055599999999998</v>
      </c>
      <c r="J42" s="33">
        <f t="shared" si="1"/>
        <v>1.4330999999999996</v>
      </c>
      <c r="K42" s="33">
        <f t="shared" si="2"/>
        <v>0.36059999999999803</v>
      </c>
    </row>
    <row r="43" spans="1:11" x14ac:dyDescent="0.2">
      <c r="A43" s="70">
        <v>44635</v>
      </c>
      <c r="B43" s="57">
        <v>2021</v>
      </c>
      <c r="C43" s="57" t="s">
        <v>173</v>
      </c>
      <c r="D43" s="57" t="s">
        <v>177</v>
      </c>
      <c r="E43" s="57" t="s">
        <v>178</v>
      </c>
      <c r="F43" s="57">
        <f t="shared" si="4"/>
        <v>0</v>
      </c>
      <c r="G43" s="57">
        <v>26.310099999999998</v>
      </c>
      <c r="H43" s="57">
        <v>32.462499999999999</v>
      </c>
      <c r="I43" s="57">
        <v>28.7163</v>
      </c>
      <c r="J43" s="33">
        <f t="shared" si="1"/>
        <v>6.1524000000000001</v>
      </c>
      <c r="K43" s="33">
        <f t="shared" si="2"/>
        <v>2.4062000000000019</v>
      </c>
    </row>
    <row r="44" spans="1:11" x14ac:dyDescent="0.2">
      <c r="A44" s="70">
        <v>44631</v>
      </c>
      <c r="B44" s="57">
        <v>2025</v>
      </c>
      <c r="C44" s="57" t="s">
        <v>176</v>
      </c>
      <c r="D44" s="57" t="s">
        <v>177</v>
      </c>
      <c r="E44" s="57" t="s">
        <v>178</v>
      </c>
      <c r="F44" s="57">
        <f t="shared" si="4"/>
        <v>0</v>
      </c>
      <c r="G44" s="57">
        <v>25.7883</v>
      </c>
      <c r="H44" s="57">
        <v>37.146500000000003</v>
      </c>
      <c r="I44" s="57">
        <v>30.88</v>
      </c>
      <c r="J44" s="33">
        <f t="shared" si="1"/>
        <v>11.358200000000004</v>
      </c>
      <c r="K44" s="33">
        <f t="shared" si="2"/>
        <v>5.0916999999999994</v>
      </c>
    </row>
    <row r="45" spans="1:11" x14ac:dyDescent="0.2">
      <c r="A45" s="70">
        <v>44628</v>
      </c>
      <c r="B45" s="57">
        <v>2377</v>
      </c>
      <c r="C45" s="57" t="s">
        <v>173</v>
      </c>
      <c r="D45" s="57" t="s">
        <v>177</v>
      </c>
      <c r="E45" s="57" t="s">
        <v>175</v>
      </c>
      <c r="F45" s="57">
        <f t="shared" si="4"/>
        <v>0</v>
      </c>
      <c r="G45" s="57">
        <v>25.875499999999999</v>
      </c>
      <c r="H45" s="57">
        <v>26.424900000000001</v>
      </c>
      <c r="I45" s="57">
        <v>25.954799999999999</v>
      </c>
      <c r="J45" s="33">
        <f t="shared" si="1"/>
        <v>0.54940000000000211</v>
      </c>
      <c r="K45" s="33">
        <f t="shared" si="2"/>
        <v>7.9299999999999926E-2</v>
      </c>
    </row>
    <row r="46" spans="1:11" x14ac:dyDescent="0.2">
      <c r="A46" s="70">
        <v>44628</v>
      </c>
      <c r="B46" s="57">
        <v>2381</v>
      </c>
      <c r="C46" s="57" t="s">
        <v>173</v>
      </c>
      <c r="D46" s="57" t="s">
        <v>174</v>
      </c>
      <c r="E46" s="57" t="s">
        <v>175</v>
      </c>
      <c r="F46" s="57">
        <f t="shared" si="4"/>
        <v>1</v>
      </c>
      <c r="G46" s="57">
        <v>26.424299999999999</v>
      </c>
      <c r="H46" s="57">
        <v>33.275300000000001</v>
      </c>
      <c r="I46" s="57">
        <v>30.069400000000002</v>
      </c>
      <c r="J46" s="33">
        <f t="shared" si="1"/>
        <v>6.8510000000000026</v>
      </c>
      <c r="K46" s="33">
        <f t="shared" si="2"/>
        <v>3.6451000000000029</v>
      </c>
    </row>
    <row r="47" spans="1:11" x14ac:dyDescent="0.2">
      <c r="A47" s="70">
        <v>44631</v>
      </c>
      <c r="B47" s="57">
        <v>2023</v>
      </c>
      <c r="C47" s="57" t="s">
        <v>176</v>
      </c>
      <c r="D47" s="57" t="s">
        <v>174</v>
      </c>
      <c r="E47" s="57" t="s">
        <v>178</v>
      </c>
      <c r="F47" s="57">
        <f t="shared" si="4"/>
        <v>1</v>
      </c>
      <c r="G47" s="57">
        <v>26.188400000000001</v>
      </c>
      <c r="H47" s="57">
        <v>35.081699999999998</v>
      </c>
      <c r="I47" s="57">
        <v>31.372599999999998</v>
      </c>
      <c r="J47" s="33">
        <f t="shared" si="1"/>
        <v>8.8932999999999964</v>
      </c>
      <c r="K47" s="33">
        <f t="shared" si="2"/>
        <v>5.184199999999997</v>
      </c>
    </row>
    <row r="48" spans="1:11" x14ac:dyDescent="0.2">
      <c r="A48" s="70">
        <v>44631</v>
      </c>
      <c r="B48" s="57">
        <v>2379</v>
      </c>
      <c r="C48" s="57" t="s">
        <v>173</v>
      </c>
      <c r="D48" s="57" t="s">
        <v>174</v>
      </c>
      <c r="E48" s="57" t="s">
        <v>175</v>
      </c>
      <c r="F48" s="57">
        <f t="shared" si="4"/>
        <v>1</v>
      </c>
      <c r="G48" s="57">
        <v>26.195399999999999</v>
      </c>
      <c r="H48" s="57">
        <v>29.529</v>
      </c>
      <c r="I48" s="57">
        <v>27.918299999999999</v>
      </c>
      <c r="J48" s="33">
        <f t="shared" si="1"/>
        <v>3.3336000000000006</v>
      </c>
      <c r="K48" s="33">
        <f t="shared" si="2"/>
        <v>1.7228999999999992</v>
      </c>
    </row>
    <row r="49" spans="1:11" x14ac:dyDescent="0.2">
      <c r="A49" s="70">
        <v>44631</v>
      </c>
      <c r="B49" s="57">
        <v>2005</v>
      </c>
      <c r="C49" s="57" t="s">
        <v>173</v>
      </c>
      <c r="D49" s="57" t="s">
        <v>174</v>
      </c>
      <c r="E49" s="57" t="s">
        <v>175</v>
      </c>
      <c r="F49" s="57">
        <f t="shared" si="4"/>
        <v>1</v>
      </c>
      <c r="G49" s="57">
        <v>26.650600000000001</v>
      </c>
      <c r="H49" s="57">
        <v>28.6965</v>
      </c>
      <c r="I49" s="57">
        <v>27.857500000000002</v>
      </c>
      <c r="J49" s="33">
        <f t="shared" si="1"/>
        <v>2.0458999999999996</v>
      </c>
      <c r="K49" s="33">
        <f t="shared" si="2"/>
        <v>1.206900000000001</v>
      </c>
    </row>
    <row r="50" spans="1:11" x14ac:dyDescent="0.2">
      <c r="A50" s="70">
        <v>44635</v>
      </c>
      <c r="B50" s="57">
        <v>2027</v>
      </c>
      <c r="C50" s="57" t="s">
        <v>173</v>
      </c>
      <c r="D50" s="57" t="s">
        <v>174</v>
      </c>
      <c r="E50" s="57" t="s">
        <v>175</v>
      </c>
      <c r="F50" s="57">
        <f t="shared" si="4"/>
        <v>1</v>
      </c>
      <c r="G50" s="57">
        <v>25.769600000000001</v>
      </c>
      <c r="H50" s="57">
        <v>26.398099999999999</v>
      </c>
      <c r="I50" s="57">
        <v>26.248999999999999</v>
      </c>
      <c r="J50" s="33">
        <f t="shared" si="1"/>
        <v>0.62849999999999895</v>
      </c>
      <c r="K50" s="33">
        <f t="shared" si="2"/>
        <v>0.47939999999999827</v>
      </c>
    </row>
    <row r="51" spans="1:11" x14ac:dyDescent="0.2">
      <c r="A51" s="70">
        <v>44631</v>
      </c>
      <c r="B51" s="57">
        <v>2354</v>
      </c>
      <c r="C51" s="57" t="s">
        <v>173</v>
      </c>
      <c r="D51" s="57" t="s">
        <v>174</v>
      </c>
      <c r="E51" s="57" t="s">
        <v>175</v>
      </c>
      <c r="F51" s="57">
        <f t="shared" si="4"/>
        <v>1</v>
      </c>
      <c r="G51" s="57">
        <v>25.661100000000001</v>
      </c>
      <c r="H51" s="57">
        <v>26.056699999999999</v>
      </c>
      <c r="I51" s="57">
        <v>26.020499999999998</v>
      </c>
      <c r="J51" s="33">
        <f t="shared" si="1"/>
        <v>0.39559999999999818</v>
      </c>
      <c r="K51" s="33">
        <f t="shared" si="2"/>
        <v>0.35939999999999728</v>
      </c>
    </row>
    <row r="52" spans="1:11" x14ac:dyDescent="0.2">
      <c r="A52" s="70">
        <v>44631</v>
      </c>
      <c r="B52" s="57">
        <v>2027</v>
      </c>
      <c r="C52" s="57" t="s">
        <v>176</v>
      </c>
      <c r="D52" s="57" t="s">
        <v>78</v>
      </c>
      <c r="E52" s="57" t="s">
        <v>175</v>
      </c>
      <c r="F52" s="57">
        <f t="shared" si="4"/>
        <v>0</v>
      </c>
      <c r="G52" s="57">
        <v>26.192900000000002</v>
      </c>
      <c r="H52" s="57">
        <v>26.527000000000001</v>
      </c>
      <c r="I52" s="57">
        <v>26.477599999999999</v>
      </c>
      <c r="J52" s="33">
        <f t="shared" si="1"/>
        <v>0.3340999999999994</v>
      </c>
      <c r="K52" s="33">
        <f t="shared" si="2"/>
        <v>0.28469999999999729</v>
      </c>
    </row>
    <row r="53" spans="1:11" x14ac:dyDescent="0.2">
      <c r="A53" s="70">
        <v>44628</v>
      </c>
      <c r="B53" s="57">
        <v>2345</v>
      </c>
      <c r="C53" s="57" t="s">
        <v>176</v>
      </c>
      <c r="D53" s="57" t="s">
        <v>174</v>
      </c>
      <c r="E53" s="57" t="s">
        <v>178</v>
      </c>
      <c r="F53" s="57">
        <f t="shared" si="4"/>
        <v>1</v>
      </c>
      <c r="G53" s="57">
        <v>26.129000000000001</v>
      </c>
      <c r="H53" s="57">
        <v>33.267600000000002</v>
      </c>
      <c r="I53" s="57">
        <v>30.1496</v>
      </c>
      <c r="J53" s="33">
        <f t="shared" si="1"/>
        <v>7.1386000000000003</v>
      </c>
      <c r="K53" s="33">
        <f t="shared" si="2"/>
        <v>4.0205999999999982</v>
      </c>
    </row>
    <row r="54" spans="1:11" x14ac:dyDescent="0.2">
      <c r="A54" s="70">
        <v>44631</v>
      </c>
      <c r="B54" s="57">
        <v>2093</v>
      </c>
      <c r="C54" s="57" t="s">
        <v>176</v>
      </c>
      <c r="D54" s="57" t="s">
        <v>177</v>
      </c>
      <c r="E54" s="57" t="s">
        <v>175</v>
      </c>
      <c r="F54" s="57">
        <f t="shared" si="4"/>
        <v>0</v>
      </c>
      <c r="G54" s="57">
        <v>26.343599999999999</v>
      </c>
      <c r="H54" s="57">
        <v>26.8612</v>
      </c>
      <c r="I54" s="57">
        <v>26.834499999999998</v>
      </c>
      <c r="J54" s="33">
        <f t="shared" si="1"/>
        <v>0.51760000000000161</v>
      </c>
      <c r="K54" s="33">
        <f t="shared" si="2"/>
        <v>0.49089999999999989</v>
      </c>
    </row>
    <row r="55" spans="1:11" x14ac:dyDescent="0.2">
      <c r="A55" s="70">
        <v>44628</v>
      </c>
      <c r="B55" s="57">
        <v>2376</v>
      </c>
      <c r="C55" s="57" t="s">
        <v>176</v>
      </c>
      <c r="D55" s="57" t="s">
        <v>174</v>
      </c>
      <c r="E55" s="57" t="s">
        <v>178</v>
      </c>
      <c r="F55" s="57">
        <f t="shared" si="4"/>
        <v>1</v>
      </c>
      <c r="G55" s="57">
        <v>26.216799999999999</v>
      </c>
      <c r="H55" s="57">
        <v>33.258899999999997</v>
      </c>
      <c r="I55" s="57">
        <v>30.274899999999999</v>
      </c>
      <c r="J55" s="33">
        <f t="shared" si="1"/>
        <v>7.0420999999999978</v>
      </c>
      <c r="K55" s="33">
        <f t="shared" si="2"/>
        <v>4.0580999999999996</v>
      </c>
    </row>
    <row r="56" spans="1:11" x14ac:dyDescent="0.2">
      <c r="A56" s="70">
        <v>44631</v>
      </c>
      <c r="B56" s="57">
        <v>2331</v>
      </c>
      <c r="C56" s="57" t="s">
        <v>173</v>
      </c>
      <c r="D56" s="57" t="s">
        <v>177</v>
      </c>
      <c r="E56" s="57" t="s">
        <v>178</v>
      </c>
      <c r="F56" s="57">
        <f t="shared" si="4"/>
        <v>0</v>
      </c>
      <c r="G56" s="57">
        <v>26.498899999999999</v>
      </c>
      <c r="H56" s="57">
        <v>26.855899999999998</v>
      </c>
      <c r="I56" s="57">
        <v>26.742000000000001</v>
      </c>
      <c r="J56" s="33">
        <f t="shared" si="1"/>
        <v>0.35699999999999932</v>
      </c>
      <c r="K56" s="33">
        <f t="shared" si="2"/>
        <v>0.24310000000000187</v>
      </c>
    </row>
    <row r="57" spans="1:11" x14ac:dyDescent="0.2">
      <c r="A57" s="70">
        <v>44635</v>
      </c>
      <c r="B57" s="57">
        <v>2020</v>
      </c>
      <c r="C57" s="57" t="s">
        <v>173</v>
      </c>
      <c r="D57" s="57" t="s">
        <v>177</v>
      </c>
      <c r="E57" s="57" t="s">
        <v>175</v>
      </c>
      <c r="F57" s="57">
        <f t="shared" si="4"/>
        <v>0</v>
      </c>
      <c r="G57" s="57">
        <v>25.339300000000001</v>
      </c>
      <c r="H57" s="57">
        <v>25.751799999999999</v>
      </c>
      <c r="I57" s="57">
        <v>25.504300000000001</v>
      </c>
      <c r="J57" s="33">
        <f t="shared" si="1"/>
        <v>0.41249999999999787</v>
      </c>
      <c r="K57" s="33">
        <f t="shared" si="2"/>
        <v>0.16499999999999915</v>
      </c>
    </row>
    <row r="58" spans="1:11" x14ac:dyDescent="0.2">
      <c r="A58" s="70">
        <v>44631</v>
      </c>
      <c r="B58" s="57">
        <v>2331</v>
      </c>
      <c r="C58" s="57" t="s">
        <v>173</v>
      </c>
      <c r="D58" s="57" t="s">
        <v>174</v>
      </c>
      <c r="E58" s="57" t="s">
        <v>178</v>
      </c>
      <c r="F58" s="57">
        <f t="shared" si="4"/>
        <v>1</v>
      </c>
      <c r="G58" s="57">
        <v>26.2989</v>
      </c>
      <c r="H58" s="57">
        <v>31.401599999999998</v>
      </c>
      <c r="I58" s="57">
        <v>29.474699999999999</v>
      </c>
      <c r="J58" s="33">
        <f t="shared" si="1"/>
        <v>5.1026999999999987</v>
      </c>
      <c r="K58" s="33">
        <f t="shared" si="2"/>
        <v>3.1757999999999988</v>
      </c>
    </row>
    <row r="59" spans="1:11" x14ac:dyDescent="0.2">
      <c r="A59" s="70">
        <v>44631</v>
      </c>
      <c r="B59" s="57">
        <v>2024</v>
      </c>
      <c r="C59" s="57" t="s">
        <v>176</v>
      </c>
      <c r="D59" s="57" t="s">
        <v>177</v>
      </c>
      <c r="E59" s="57" t="s">
        <v>178</v>
      </c>
      <c r="F59" s="57">
        <f t="shared" si="4"/>
        <v>0</v>
      </c>
      <c r="G59" s="57">
        <v>26.016500000000001</v>
      </c>
      <c r="H59" s="57">
        <v>35.713200000000001</v>
      </c>
      <c r="I59" s="57">
        <v>29.5932</v>
      </c>
      <c r="J59" s="33">
        <f t="shared" si="1"/>
        <v>9.6966999999999999</v>
      </c>
      <c r="K59" s="33">
        <f t="shared" si="2"/>
        <v>3.5766999999999989</v>
      </c>
    </row>
    <row r="60" spans="1:11" x14ac:dyDescent="0.2">
      <c r="A60" s="70">
        <v>44628</v>
      </c>
      <c r="B60" s="57">
        <v>2352</v>
      </c>
      <c r="C60" s="57" t="s">
        <v>176</v>
      </c>
      <c r="D60" s="57" t="s">
        <v>174</v>
      </c>
      <c r="E60" s="57" t="s">
        <v>175</v>
      </c>
      <c r="F60" s="57">
        <f t="shared" si="4"/>
        <v>1</v>
      </c>
      <c r="G60" s="57">
        <v>26.223800000000001</v>
      </c>
      <c r="H60" s="57">
        <v>27.378399999999999</v>
      </c>
      <c r="I60" s="57">
        <v>26.9895</v>
      </c>
      <c r="J60" s="33">
        <f t="shared" si="1"/>
        <v>1.1545999999999985</v>
      </c>
      <c r="K60" s="33">
        <f t="shared" si="2"/>
        <v>0.76569999999999894</v>
      </c>
    </row>
    <row r="61" spans="1:11" x14ac:dyDescent="0.2">
      <c r="A61" s="70">
        <v>44631</v>
      </c>
      <c r="B61" s="57">
        <v>2007</v>
      </c>
      <c r="C61" s="57" t="s">
        <v>176</v>
      </c>
      <c r="D61" s="57" t="s">
        <v>177</v>
      </c>
      <c r="E61" s="57" t="s">
        <v>178</v>
      </c>
      <c r="F61" s="57">
        <f t="shared" si="4"/>
        <v>0</v>
      </c>
      <c r="G61" s="57">
        <v>26.3613</v>
      </c>
      <c r="H61" s="57">
        <v>36.216099999999997</v>
      </c>
      <c r="I61" s="57">
        <v>30.764700000000001</v>
      </c>
      <c r="J61" s="33">
        <f t="shared" si="1"/>
        <v>9.8547999999999973</v>
      </c>
      <c r="K61" s="33">
        <f t="shared" si="2"/>
        <v>4.4034000000000013</v>
      </c>
    </row>
    <row r="62" spans="1:11" x14ac:dyDescent="0.2">
      <c r="A62" s="70">
        <v>44635</v>
      </c>
      <c r="B62" s="57">
        <v>2383</v>
      </c>
      <c r="C62" s="57" t="s">
        <v>173</v>
      </c>
      <c r="D62" s="57" t="s">
        <v>177</v>
      </c>
      <c r="E62" s="57" t="s">
        <v>178</v>
      </c>
      <c r="F62" s="57">
        <f t="shared" si="4"/>
        <v>0</v>
      </c>
      <c r="G62" s="57">
        <v>25.797699999999999</v>
      </c>
      <c r="H62" s="57">
        <v>31.588699999999999</v>
      </c>
      <c r="I62" s="57">
        <v>28.132999999999999</v>
      </c>
      <c r="J62" s="33">
        <f t="shared" si="1"/>
        <v>5.7910000000000004</v>
      </c>
      <c r="K62" s="33">
        <f t="shared" si="2"/>
        <v>2.3353000000000002</v>
      </c>
    </row>
    <row r="63" spans="1:11" x14ac:dyDescent="0.2">
      <c r="A63" s="70">
        <v>44631</v>
      </c>
      <c r="B63" s="57">
        <v>2007</v>
      </c>
      <c r="C63" s="57" t="s">
        <v>173</v>
      </c>
      <c r="D63" s="57" t="s">
        <v>177</v>
      </c>
      <c r="E63" s="57" t="s">
        <v>175</v>
      </c>
      <c r="F63" s="57">
        <f t="shared" si="4"/>
        <v>0</v>
      </c>
      <c r="G63" s="57">
        <v>26.084399999999999</v>
      </c>
      <c r="H63" s="57">
        <v>27.213000000000001</v>
      </c>
      <c r="I63" s="57">
        <v>26.329000000000001</v>
      </c>
      <c r="J63" s="33">
        <f t="shared" si="1"/>
        <v>1.1286000000000023</v>
      </c>
      <c r="K63" s="33">
        <f t="shared" si="2"/>
        <v>0.24460000000000193</v>
      </c>
    </row>
    <row r="64" spans="1:11" x14ac:dyDescent="0.2">
      <c r="A64" s="70">
        <v>44628</v>
      </c>
      <c r="B64" s="57">
        <v>2377</v>
      </c>
      <c r="C64" s="57" t="s">
        <v>176</v>
      </c>
      <c r="D64" s="57" t="s">
        <v>177</v>
      </c>
      <c r="E64" s="57" t="s">
        <v>178</v>
      </c>
      <c r="F64" s="57">
        <f t="shared" si="4"/>
        <v>0</v>
      </c>
      <c r="G64" s="57">
        <v>26.445799999999998</v>
      </c>
      <c r="H64" s="57">
        <v>33.249499999999998</v>
      </c>
      <c r="I64" s="57">
        <v>28.796800000000001</v>
      </c>
      <c r="J64" s="33">
        <f t="shared" si="1"/>
        <v>6.8036999999999992</v>
      </c>
      <c r="K64" s="33">
        <f t="shared" si="2"/>
        <v>2.3510000000000026</v>
      </c>
    </row>
    <row r="65" spans="1:11" x14ac:dyDescent="0.2">
      <c r="A65" s="70">
        <v>44635</v>
      </c>
      <c r="B65" s="57">
        <v>2024</v>
      </c>
      <c r="C65" s="57" t="s">
        <v>173</v>
      </c>
      <c r="D65" s="57" t="s">
        <v>174</v>
      </c>
      <c r="E65" s="57" t="s">
        <v>175</v>
      </c>
      <c r="F65" s="57">
        <f t="shared" si="4"/>
        <v>1</v>
      </c>
      <c r="G65" s="57">
        <v>25.736899999999999</v>
      </c>
      <c r="H65" s="57">
        <v>26.335799999999999</v>
      </c>
      <c r="I65" s="57">
        <v>26.042400000000001</v>
      </c>
      <c r="J65" s="33">
        <f t="shared" si="1"/>
        <v>0.59890000000000043</v>
      </c>
      <c r="K65" s="33">
        <f t="shared" si="2"/>
        <v>0.3055000000000021</v>
      </c>
    </row>
    <row r="66" spans="1:11" x14ac:dyDescent="0.2">
      <c r="A66" s="70">
        <v>44631</v>
      </c>
      <c r="B66" s="57">
        <v>2331</v>
      </c>
      <c r="C66" s="57" t="s">
        <v>173</v>
      </c>
      <c r="D66" s="57" t="s">
        <v>174</v>
      </c>
      <c r="E66" s="57" t="s">
        <v>175</v>
      </c>
      <c r="F66" s="57">
        <f t="shared" si="4"/>
        <v>1</v>
      </c>
      <c r="G66" s="57">
        <v>26.486000000000001</v>
      </c>
      <c r="H66" s="57">
        <v>27.872699999999998</v>
      </c>
      <c r="I66" s="57">
        <v>27.065999999999999</v>
      </c>
      <c r="J66" s="33">
        <f t="shared" si="1"/>
        <v>1.3866999999999976</v>
      </c>
      <c r="K66" s="33">
        <f t="shared" si="2"/>
        <v>0.57999999999999829</v>
      </c>
    </row>
    <row r="67" spans="1:11" x14ac:dyDescent="0.2">
      <c r="A67" s="70">
        <v>44628</v>
      </c>
      <c r="B67" s="57">
        <v>2377</v>
      </c>
      <c r="C67" s="57" t="s">
        <v>176</v>
      </c>
      <c r="D67" s="57" t="s">
        <v>174</v>
      </c>
      <c r="E67" s="57" t="s">
        <v>178</v>
      </c>
      <c r="F67" s="57">
        <f t="shared" si="4"/>
        <v>1</v>
      </c>
      <c r="G67" s="57">
        <v>25.921099999999999</v>
      </c>
      <c r="H67" s="57">
        <v>29.3996</v>
      </c>
      <c r="I67" s="57">
        <v>27.771699999999999</v>
      </c>
      <c r="J67" s="33">
        <f t="shared" si="1"/>
        <v>3.4785000000000004</v>
      </c>
      <c r="K67" s="33">
        <f t="shared" si="2"/>
        <v>1.8506</v>
      </c>
    </row>
    <row r="68" spans="1:11" x14ac:dyDescent="0.2">
      <c r="A68" s="70">
        <v>44631</v>
      </c>
      <c r="B68" s="57">
        <v>2093</v>
      </c>
      <c r="C68" s="57" t="s">
        <v>176</v>
      </c>
      <c r="D68" s="57" t="s">
        <v>177</v>
      </c>
      <c r="E68" s="57" t="s">
        <v>178</v>
      </c>
      <c r="F68" s="57">
        <f t="shared" si="4"/>
        <v>0</v>
      </c>
      <c r="G68" s="57">
        <v>26.409800000000001</v>
      </c>
      <c r="H68" s="57">
        <v>32.148800000000001</v>
      </c>
      <c r="I68" s="57">
        <v>29.713100000000001</v>
      </c>
      <c r="J68" s="33">
        <f t="shared" si="1"/>
        <v>5.7390000000000008</v>
      </c>
      <c r="K68" s="33">
        <f t="shared" si="2"/>
        <v>3.3033000000000001</v>
      </c>
    </row>
    <row r="69" spans="1:11" x14ac:dyDescent="0.2">
      <c r="A69" s="70">
        <v>44631</v>
      </c>
      <c r="B69" s="57">
        <v>2005</v>
      </c>
      <c r="C69" s="57" t="s">
        <v>173</v>
      </c>
      <c r="D69" s="57" t="s">
        <v>177</v>
      </c>
      <c r="E69" s="57" t="s">
        <v>175</v>
      </c>
      <c r="F69" s="57">
        <f t="shared" si="4"/>
        <v>0</v>
      </c>
      <c r="G69" s="57">
        <v>26.351500000000001</v>
      </c>
      <c r="H69" s="57">
        <v>27.357600000000001</v>
      </c>
      <c r="I69" s="57">
        <v>26.643999999999998</v>
      </c>
      <c r="J69" s="33">
        <f t="shared" si="1"/>
        <v>1.0061</v>
      </c>
      <c r="K69" s="33">
        <f t="shared" si="2"/>
        <v>0.29249999999999687</v>
      </c>
    </row>
    <row r="70" spans="1:11" x14ac:dyDescent="0.2">
      <c r="A70" s="70">
        <v>44631</v>
      </c>
      <c r="B70" s="57">
        <v>2006</v>
      </c>
      <c r="C70" s="57" t="s">
        <v>176</v>
      </c>
      <c r="D70" s="57" t="s">
        <v>174</v>
      </c>
      <c r="E70" s="57" t="s">
        <v>175</v>
      </c>
      <c r="F70" s="57">
        <f t="shared" si="4"/>
        <v>1</v>
      </c>
      <c r="G70" s="57">
        <v>26.208600000000001</v>
      </c>
      <c r="H70" s="57">
        <v>27.450399999999998</v>
      </c>
      <c r="I70" s="57">
        <v>26.863600000000002</v>
      </c>
      <c r="J70" s="33">
        <f t="shared" si="1"/>
        <v>1.2417999999999978</v>
      </c>
      <c r="K70" s="33">
        <f t="shared" si="2"/>
        <v>0.65500000000000114</v>
      </c>
    </row>
    <row r="71" spans="1:11" x14ac:dyDescent="0.2">
      <c r="A71" s="70">
        <v>44631</v>
      </c>
      <c r="B71" s="57">
        <v>2007</v>
      </c>
      <c r="C71" s="57" t="s">
        <v>173</v>
      </c>
      <c r="D71" s="57" t="s">
        <v>177</v>
      </c>
      <c r="E71" s="57" t="s">
        <v>178</v>
      </c>
      <c r="F71" s="57">
        <f t="shared" si="4"/>
        <v>0</v>
      </c>
      <c r="G71" s="57">
        <v>26.743600000000001</v>
      </c>
      <c r="H71" s="57">
        <v>33.578400000000002</v>
      </c>
      <c r="I71" s="57">
        <v>29.172899999999998</v>
      </c>
      <c r="J71" s="33">
        <f t="shared" si="1"/>
        <v>6.8348000000000013</v>
      </c>
      <c r="K71" s="33">
        <f t="shared" si="2"/>
        <v>2.4292999999999978</v>
      </c>
    </row>
    <row r="72" spans="1:11" x14ac:dyDescent="0.2">
      <c r="A72" s="70">
        <v>44628</v>
      </c>
      <c r="B72" s="57">
        <v>2366</v>
      </c>
      <c r="C72" s="57" t="s">
        <v>173</v>
      </c>
      <c r="D72" s="57" t="s">
        <v>177</v>
      </c>
      <c r="E72" s="57" t="s">
        <v>175</v>
      </c>
      <c r="F72" s="57">
        <f t="shared" si="4"/>
        <v>0</v>
      </c>
      <c r="G72" s="57">
        <v>26.408000000000001</v>
      </c>
      <c r="H72" s="57">
        <v>27.131</v>
      </c>
      <c r="I72" s="57">
        <v>26.642600000000002</v>
      </c>
      <c r="J72" s="33">
        <f t="shared" si="1"/>
        <v>0.72299999999999898</v>
      </c>
      <c r="K72" s="33">
        <f t="shared" si="2"/>
        <v>0.23460000000000036</v>
      </c>
    </row>
    <row r="73" spans="1:11" x14ac:dyDescent="0.2">
      <c r="A73" s="70">
        <v>44631</v>
      </c>
      <c r="B73" s="57">
        <v>2006</v>
      </c>
      <c r="C73" s="57" t="s">
        <v>173</v>
      </c>
      <c r="D73" s="57" t="s">
        <v>177</v>
      </c>
      <c r="E73" s="57" t="s">
        <v>175</v>
      </c>
      <c r="F73" s="57">
        <f t="shared" si="4"/>
        <v>0</v>
      </c>
      <c r="G73" s="57">
        <v>26.825399999999998</v>
      </c>
      <c r="H73" s="57">
        <v>27.328800000000001</v>
      </c>
      <c r="I73" s="57">
        <v>26.992899999999999</v>
      </c>
      <c r="J73" s="33">
        <f t="shared" si="1"/>
        <v>0.50340000000000273</v>
      </c>
      <c r="K73" s="33">
        <f t="shared" si="2"/>
        <v>0.16750000000000043</v>
      </c>
    </row>
    <row r="74" spans="1:11" x14ac:dyDescent="0.2">
      <c r="A74" s="70">
        <v>44635</v>
      </c>
      <c r="B74" s="57">
        <v>2089</v>
      </c>
      <c r="C74" s="57" t="s">
        <v>173</v>
      </c>
      <c r="D74" s="57" t="s">
        <v>174</v>
      </c>
      <c r="E74" s="57" t="s">
        <v>175</v>
      </c>
      <c r="F74" s="57">
        <v>2</v>
      </c>
      <c r="G74" s="57">
        <v>25.931899999999999</v>
      </c>
      <c r="H74" s="57">
        <v>26.970099999999999</v>
      </c>
      <c r="I74" s="57">
        <v>26.529900000000001</v>
      </c>
      <c r="J74" s="33">
        <f t="shared" si="1"/>
        <v>1.0381999999999998</v>
      </c>
      <c r="K74" s="33">
        <f t="shared" si="2"/>
        <v>0.59800000000000253</v>
      </c>
    </row>
    <row r="75" spans="1:11" x14ac:dyDescent="0.2">
      <c r="A75" s="70">
        <v>44635</v>
      </c>
      <c r="B75" s="57">
        <v>2384</v>
      </c>
      <c r="C75" s="57" t="s">
        <v>173</v>
      </c>
      <c r="D75" s="57" t="s">
        <v>177</v>
      </c>
      <c r="E75" s="57" t="s">
        <v>175</v>
      </c>
      <c r="F75" s="57">
        <f t="shared" ref="F75:F90" si="5">IF(D75="old",1,0)</f>
        <v>0</v>
      </c>
      <c r="G75" s="57">
        <v>26.164000000000001</v>
      </c>
      <c r="H75" s="57">
        <v>26.8352</v>
      </c>
      <c r="I75" s="57">
        <v>26.4191</v>
      </c>
      <c r="J75" s="33">
        <f t="shared" si="1"/>
        <v>0.67119999999999891</v>
      </c>
      <c r="K75" s="33">
        <f t="shared" si="2"/>
        <v>0.25509999999999877</v>
      </c>
    </row>
    <row r="76" spans="1:11" x14ac:dyDescent="0.2">
      <c r="A76" s="70">
        <v>44628</v>
      </c>
      <c r="B76" s="57">
        <v>2331</v>
      </c>
      <c r="C76" s="57" t="s">
        <v>176</v>
      </c>
      <c r="D76" s="57" t="s">
        <v>177</v>
      </c>
      <c r="E76" s="57" t="s">
        <v>178</v>
      </c>
      <c r="F76" s="57">
        <f t="shared" si="5"/>
        <v>0</v>
      </c>
      <c r="G76" s="57">
        <v>26.174600000000002</v>
      </c>
      <c r="H76" s="57">
        <v>26.0016</v>
      </c>
      <c r="I76" s="57">
        <v>26.275099999999998</v>
      </c>
      <c r="J76" s="33">
        <f t="shared" si="1"/>
        <v>-0.17300000000000182</v>
      </c>
      <c r="K76" s="33">
        <f t="shared" si="2"/>
        <v>0.1004999999999967</v>
      </c>
    </row>
    <row r="77" spans="1:11" x14ac:dyDescent="0.2">
      <c r="A77" s="70">
        <v>44631</v>
      </c>
      <c r="B77" s="57">
        <v>2005</v>
      </c>
      <c r="C77" s="57" t="s">
        <v>173</v>
      </c>
      <c r="D77" s="57" t="s">
        <v>177</v>
      </c>
      <c r="E77" s="57" t="s">
        <v>178</v>
      </c>
      <c r="F77" s="57">
        <f t="shared" si="5"/>
        <v>0</v>
      </c>
      <c r="G77" s="57">
        <v>26.228400000000001</v>
      </c>
      <c r="H77" s="57">
        <v>35.0762</v>
      </c>
      <c r="I77" s="57">
        <v>29.0243</v>
      </c>
      <c r="J77" s="33">
        <f t="shared" si="1"/>
        <v>8.8477999999999994</v>
      </c>
      <c r="K77" s="33">
        <f t="shared" si="2"/>
        <v>2.7958999999999996</v>
      </c>
    </row>
    <row r="78" spans="1:11" x14ac:dyDescent="0.2">
      <c r="A78" s="70">
        <v>44628</v>
      </c>
      <c r="B78" s="57">
        <v>2381</v>
      </c>
      <c r="C78" s="57" t="s">
        <v>176</v>
      </c>
      <c r="D78" s="57" t="s">
        <v>177</v>
      </c>
      <c r="E78" s="57" t="s">
        <v>178</v>
      </c>
      <c r="F78" s="57">
        <f t="shared" si="5"/>
        <v>0</v>
      </c>
      <c r="G78" s="57">
        <v>26.0106</v>
      </c>
      <c r="H78" s="57">
        <v>37.551400000000001</v>
      </c>
      <c r="I78" s="57">
        <v>30.087199999999999</v>
      </c>
      <c r="J78" s="33">
        <f t="shared" si="1"/>
        <v>11.540800000000001</v>
      </c>
      <c r="K78" s="33">
        <f t="shared" si="2"/>
        <v>4.0765999999999991</v>
      </c>
    </row>
    <row r="79" spans="1:11" x14ac:dyDescent="0.2">
      <c r="A79" s="70">
        <v>44635</v>
      </c>
      <c r="B79" s="57">
        <v>2022</v>
      </c>
      <c r="C79" s="57" t="s">
        <v>173</v>
      </c>
      <c r="D79" s="57" t="s">
        <v>174</v>
      </c>
      <c r="E79" s="57" t="s">
        <v>178</v>
      </c>
      <c r="F79" s="57">
        <f t="shared" si="5"/>
        <v>1</v>
      </c>
      <c r="G79" s="57">
        <v>25.3551</v>
      </c>
      <c r="H79" s="57">
        <v>31.1877</v>
      </c>
      <c r="I79" s="57">
        <v>28.551500000000001</v>
      </c>
      <c r="J79" s="33">
        <f t="shared" si="1"/>
        <v>5.8325999999999993</v>
      </c>
      <c r="K79" s="33">
        <f t="shared" si="2"/>
        <v>3.1964000000000006</v>
      </c>
    </row>
    <row r="80" spans="1:11" x14ac:dyDescent="0.2">
      <c r="A80" s="70">
        <v>44635</v>
      </c>
      <c r="B80" s="57">
        <v>2093</v>
      </c>
      <c r="C80" s="57" t="s">
        <v>173</v>
      </c>
      <c r="D80" s="57" t="s">
        <v>174</v>
      </c>
      <c r="E80" s="57" t="s">
        <v>178</v>
      </c>
      <c r="F80" s="57">
        <f t="shared" si="5"/>
        <v>1</v>
      </c>
      <c r="G80" s="57">
        <v>26.128799999999998</v>
      </c>
      <c r="H80" s="57">
        <v>32.9861</v>
      </c>
      <c r="I80" s="57">
        <v>29.985199999999999</v>
      </c>
      <c r="J80" s="33">
        <f t="shared" si="1"/>
        <v>6.8573000000000022</v>
      </c>
      <c r="K80" s="33">
        <f t="shared" si="2"/>
        <v>3.8564000000000007</v>
      </c>
    </row>
    <row r="81" spans="1:11" x14ac:dyDescent="0.2">
      <c r="A81" s="70">
        <v>44628</v>
      </c>
      <c r="B81" s="57">
        <v>2352</v>
      </c>
      <c r="C81" s="57" t="s">
        <v>176</v>
      </c>
      <c r="D81" s="57" t="s">
        <v>174</v>
      </c>
      <c r="E81" s="57" t="s">
        <v>178</v>
      </c>
      <c r="F81" s="57">
        <f t="shared" si="5"/>
        <v>1</v>
      </c>
      <c r="G81" s="57">
        <v>26.1602</v>
      </c>
      <c r="H81" s="57">
        <v>29.629200000000001</v>
      </c>
      <c r="I81" s="57">
        <v>28.589600000000001</v>
      </c>
      <c r="J81" s="33">
        <f t="shared" si="1"/>
        <v>3.4690000000000012</v>
      </c>
      <c r="K81" s="33">
        <f t="shared" si="2"/>
        <v>2.4294000000000011</v>
      </c>
    </row>
    <row r="82" spans="1:11" x14ac:dyDescent="0.2">
      <c r="A82" s="70">
        <v>44628</v>
      </c>
      <c r="B82" s="57">
        <v>2366</v>
      </c>
      <c r="C82" s="57" t="s">
        <v>173</v>
      </c>
      <c r="D82" s="57" t="s">
        <v>174</v>
      </c>
      <c r="E82" s="57" t="s">
        <v>175</v>
      </c>
      <c r="F82" s="57">
        <f t="shared" si="5"/>
        <v>1</v>
      </c>
      <c r="G82" s="57">
        <v>25.703099999999999</v>
      </c>
      <c r="H82" s="57">
        <v>32.1357</v>
      </c>
      <c r="I82" s="57">
        <v>29.333300000000001</v>
      </c>
      <c r="J82" s="33">
        <f t="shared" si="1"/>
        <v>6.4326000000000008</v>
      </c>
      <c r="K82" s="33">
        <f t="shared" si="2"/>
        <v>3.6302000000000021</v>
      </c>
    </row>
    <row r="83" spans="1:11" x14ac:dyDescent="0.2">
      <c r="A83" s="70">
        <v>44635</v>
      </c>
      <c r="B83" s="57">
        <v>2092</v>
      </c>
      <c r="C83" s="57" t="s">
        <v>173</v>
      </c>
      <c r="D83" s="57" t="s">
        <v>177</v>
      </c>
      <c r="E83" s="57" t="s">
        <v>175</v>
      </c>
      <c r="F83" s="57">
        <f t="shared" si="5"/>
        <v>0</v>
      </c>
      <c r="G83" s="57">
        <v>26.623100000000001</v>
      </c>
      <c r="H83" s="57">
        <v>26.784700000000001</v>
      </c>
      <c r="I83" s="57">
        <v>26.940899999999999</v>
      </c>
      <c r="J83" s="33">
        <f t="shared" si="1"/>
        <v>0.16159999999999997</v>
      </c>
      <c r="K83" s="33">
        <f t="shared" si="2"/>
        <v>0.31779999999999831</v>
      </c>
    </row>
    <row r="84" spans="1:11" x14ac:dyDescent="0.2">
      <c r="A84" s="70">
        <v>44628</v>
      </c>
      <c r="B84" s="57">
        <v>2382</v>
      </c>
      <c r="C84" s="57" t="s">
        <v>173</v>
      </c>
      <c r="D84" s="57" t="s">
        <v>174</v>
      </c>
      <c r="E84" s="57" t="s">
        <v>175</v>
      </c>
      <c r="F84" s="57">
        <f t="shared" si="5"/>
        <v>1</v>
      </c>
      <c r="G84" s="57">
        <v>26.434200000000001</v>
      </c>
      <c r="H84" s="57">
        <v>26.527000000000001</v>
      </c>
      <c r="I84" s="57">
        <v>26.4955</v>
      </c>
      <c r="J84" s="33">
        <f t="shared" si="1"/>
        <v>9.2800000000000438E-2</v>
      </c>
      <c r="K84" s="33">
        <f t="shared" si="2"/>
        <v>6.1299999999999244E-2</v>
      </c>
    </row>
    <row r="85" spans="1:11" x14ac:dyDescent="0.2">
      <c r="A85" s="70">
        <v>44635</v>
      </c>
      <c r="B85" s="57">
        <v>2091</v>
      </c>
      <c r="C85" s="57" t="s">
        <v>173</v>
      </c>
      <c r="D85" s="57" t="s">
        <v>177</v>
      </c>
      <c r="E85" s="57" t="s">
        <v>175</v>
      </c>
      <c r="F85" s="57">
        <f t="shared" si="5"/>
        <v>0</v>
      </c>
      <c r="G85" s="57">
        <v>26.510100000000001</v>
      </c>
      <c r="H85" s="57">
        <v>27.2515</v>
      </c>
      <c r="I85" s="57">
        <v>26.969100000000001</v>
      </c>
      <c r="J85" s="33">
        <f t="shared" si="1"/>
        <v>0.74139999999999873</v>
      </c>
      <c r="K85" s="33">
        <f t="shared" si="2"/>
        <v>0.45899999999999963</v>
      </c>
    </row>
    <row r="86" spans="1:11" x14ac:dyDescent="0.2">
      <c r="A86" s="70">
        <v>44635</v>
      </c>
      <c r="B86" s="57">
        <v>2023</v>
      </c>
      <c r="C86" s="57" t="s">
        <v>173</v>
      </c>
      <c r="D86" s="57" t="s">
        <v>177</v>
      </c>
      <c r="E86" s="57" t="s">
        <v>178</v>
      </c>
      <c r="F86" s="57">
        <f t="shared" si="5"/>
        <v>0</v>
      </c>
      <c r="G86" s="57">
        <v>27.413</v>
      </c>
      <c r="H86" s="57">
        <v>35.043100000000003</v>
      </c>
      <c r="I86" s="57">
        <v>30.779800000000002</v>
      </c>
      <c r="J86" s="33">
        <f t="shared" si="1"/>
        <v>7.6301000000000023</v>
      </c>
      <c r="K86" s="33">
        <f t="shared" si="2"/>
        <v>3.3668000000000013</v>
      </c>
    </row>
    <row r="87" spans="1:11" x14ac:dyDescent="0.2">
      <c r="A87" s="70">
        <v>44635</v>
      </c>
      <c r="B87" s="57">
        <v>2352</v>
      </c>
      <c r="C87" s="57" t="s">
        <v>173</v>
      </c>
      <c r="D87" s="57" t="s">
        <v>174</v>
      </c>
      <c r="E87" s="57" t="s">
        <v>175</v>
      </c>
      <c r="F87" s="57">
        <f t="shared" si="5"/>
        <v>1</v>
      </c>
      <c r="G87" s="57">
        <v>25.921800000000001</v>
      </c>
      <c r="H87" s="57">
        <v>26.922899999999998</v>
      </c>
      <c r="I87" s="57">
        <v>26.150099999999998</v>
      </c>
      <c r="J87" s="33">
        <f t="shared" si="1"/>
        <v>1.0010999999999974</v>
      </c>
      <c r="K87" s="33">
        <f t="shared" si="2"/>
        <v>0.22829999999999728</v>
      </c>
    </row>
    <row r="88" spans="1:11" x14ac:dyDescent="0.2">
      <c r="A88" s="70">
        <v>44635</v>
      </c>
      <c r="B88" s="57">
        <v>2091</v>
      </c>
      <c r="C88" s="57" t="s">
        <v>173</v>
      </c>
      <c r="D88" s="57" t="s">
        <v>177</v>
      </c>
      <c r="E88" s="57" t="s">
        <v>178</v>
      </c>
      <c r="F88" s="57">
        <f t="shared" si="5"/>
        <v>0</v>
      </c>
      <c r="G88" s="57">
        <v>26.471399999999999</v>
      </c>
      <c r="H88" s="57">
        <v>32.186199999999999</v>
      </c>
      <c r="I88" s="57">
        <v>29.676500000000001</v>
      </c>
      <c r="J88" s="33">
        <f t="shared" si="1"/>
        <v>5.7148000000000003</v>
      </c>
      <c r="K88" s="33">
        <f t="shared" si="2"/>
        <v>3.2051000000000016</v>
      </c>
    </row>
    <row r="89" spans="1:11" x14ac:dyDescent="0.2">
      <c r="A89" s="70">
        <v>44635</v>
      </c>
      <c r="B89" s="57">
        <v>2027</v>
      </c>
      <c r="C89" s="57" t="s">
        <v>173</v>
      </c>
      <c r="D89" s="57" t="s">
        <v>177</v>
      </c>
      <c r="E89" s="57" t="s">
        <v>175</v>
      </c>
      <c r="F89" s="57">
        <f t="shared" si="5"/>
        <v>0</v>
      </c>
      <c r="G89" s="57">
        <v>25.939699999999998</v>
      </c>
      <c r="H89" s="57">
        <v>26.5212</v>
      </c>
      <c r="I89" s="57">
        <v>26.1069</v>
      </c>
      <c r="J89" s="33">
        <f t="shared" si="1"/>
        <v>0.5815000000000019</v>
      </c>
      <c r="K89" s="33">
        <f t="shared" si="2"/>
        <v>0.16720000000000113</v>
      </c>
    </row>
    <row r="90" spans="1:11" x14ac:dyDescent="0.2">
      <c r="A90" s="70">
        <v>44628</v>
      </c>
      <c r="B90" s="57">
        <v>2366</v>
      </c>
      <c r="C90" s="57" t="s">
        <v>173</v>
      </c>
      <c r="D90" s="57" t="s">
        <v>174</v>
      </c>
      <c r="E90" s="57" t="s">
        <v>178</v>
      </c>
      <c r="F90" s="57">
        <f t="shared" si="5"/>
        <v>1</v>
      </c>
      <c r="G90" s="57">
        <v>26.155799999999999</v>
      </c>
      <c r="H90" s="57">
        <v>29.639099999999999</v>
      </c>
      <c r="I90" s="57">
        <v>27.473099999999999</v>
      </c>
      <c r="J90" s="33">
        <f t="shared" si="1"/>
        <v>3.4832999999999998</v>
      </c>
      <c r="K90" s="33">
        <f t="shared" si="2"/>
        <v>1.3172999999999995</v>
      </c>
    </row>
    <row r="91" spans="1:11" x14ac:dyDescent="0.2">
      <c r="A91" s="70">
        <v>44635</v>
      </c>
      <c r="B91" s="57">
        <v>2091</v>
      </c>
      <c r="C91" s="57" t="s">
        <v>173</v>
      </c>
      <c r="D91" s="57" t="s">
        <v>174</v>
      </c>
      <c r="E91" s="57" t="s">
        <v>178</v>
      </c>
      <c r="F91" s="57">
        <v>2</v>
      </c>
      <c r="G91" s="57">
        <v>25.790199999999999</v>
      </c>
      <c r="H91" s="57">
        <v>29.6036</v>
      </c>
      <c r="I91" s="57">
        <v>27.746700000000001</v>
      </c>
      <c r="J91" s="33">
        <f t="shared" si="1"/>
        <v>3.8134000000000015</v>
      </c>
      <c r="K91" s="33">
        <f t="shared" si="2"/>
        <v>1.9565000000000019</v>
      </c>
    </row>
    <row r="92" spans="1:11" x14ac:dyDescent="0.2">
      <c r="A92" s="70">
        <v>44635</v>
      </c>
      <c r="B92" s="57">
        <v>2352</v>
      </c>
      <c r="C92" s="57" t="s">
        <v>173</v>
      </c>
      <c r="D92" s="57" t="s">
        <v>177</v>
      </c>
      <c r="E92" s="57" t="s">
        <v>178</v>
      </c>
      <c r="F92" s="57">
        <f t="shared" ref="F92:F102" si="6">IF(D92="old",1,0)</f>
        <v>0</v>
      </c>
      <c r="G92" s="57">
        <v>26.354099999999999</v>
      </c>
      <c r="H92" s="57">
        <v>35.912399999999998</v>
      </c>
      <c r="I92" s="57">
        <v>30.0931</v>
      </c>
      <c r="J92" s="33">
        <f t="shared" si="1"/>
        <v>9.5582999999999991</v>
      </c>
      <c r="K92" s="33">
        <f t="shared" si="2"/>
        <v>3.7390000000000008</v>
      </c>
    </row>
    <row r="93" spans="1:11" x14ac:dyDescent="0.2">
      <c r="A93" s="70">
        <v>44635</v>
      </c>
      <c r="B93" s="57">
        <v>2383</v>
      </c>
      <c r="C93" s="57" t="s">
        <v>173</v>
      </c>
      <c r="D93" s="57" t="s">
        <v>177</v>
      </c>
      <c r="E93" s="57" t="s">
        <v>175</v>
      </c>
      <c r="F93" s="57">
        <f t="shared" si="6"/>
        <v>0</v>
      </c>
      <c r="G93" s="57">
        <v>25.859100000000002</v>
      </c>
      <c r="H93" s="57">
        <v>26.571100000000001</v>
      </c>
      <c r="I93" s="57">
        <v>25.9969</v>
      </c>
      <c r="J93" s="33">
        <f t="shared" si="1"/>
        <v>0.71199999999999974</v>
      </c>
      <c r="K93" s="33">
        <f t="shared" si="2"/>
        <v>0.13779999999999859</v>
      </c>
    </row>
    <row r="94" spans="1:11" x14ac:dyDescent="0.2">
      <c r="A94" s="70">
        <v>44628</v>
      </c>
      <c r="B94" s="57">
        <v>2331</v>
      </c>
      <c r="C94" s="57" t="s">
        <v>176</v>
      </c>
      <c r="D94" s="57" t="s">
        <v>174</v>
      </c>
      <c r="E94" s="57" t="s">
        <v>178</v>
      </c>
      <c r="F94" s="57">
        <f t="shared" si="6"/>
        <v>1</v>
      </c>
      <c r="G94" s="57">
        <v>26.355399999999999</v>
      </c>
      <c r="H94" s="57">
        <v>35.328299999999999</v>
      </c>
      <c r="I94" s="57">
        <v>31.335999999999999</v>
      </c>
      <c r="J94" s="33">
        <f t="shared" si="1"/>
        <v>8.9728999999999992</v>
      </c>
      <c r="K94" s="33">
        <f t="shared" si="2"/>
        <v>4.980599999999999</v>
      </c>
    </row>
    <row r="95" spans="1:11" x14ac:dyDescent="0.2">
      <c r="A95" s="70">
        <v>44631</v>
      </c>
      <c r="B95" s="57">
        <v>2331</v>
      </c>
      <c r="C95" s="57" t="s">
        <v>173</v>
      </c>
      <c r="D95" s="57" t="s">
        <v>177</v>
      </c>
      <c r="E95" s="57" t="s">
        <v>175</v>
      </c>
      <c r="F95" s="57">
        <f t="shared" si="6"/>
        <v>0</v>
      </c>
      <c r="G95" s="57">
        <v>26.156199999999998</v>
      </c>
      <c r="H95" s="57">
        <v>26.573699999999999</v>
      </c>
      <c r="I95" s="57">
        <v>26.1754</v>
      </c>
      <c r="J95" s="33">
        <f t="shared" si="1"/>
        <v>0.41750000000000043</v>
      </c>
      <c r="K95" s="33">
        <f t="shared" si="2"/>
        <v>1.9200000000001438E-2</v>
      </c>
    </row>
    <row r="96" spans="1:11" x14ac:dyDescent="0.2">
      <c r="A96" s="70">
        <v>44635</v>
      </c>
      <c r="B96" s="57">
        <v>2089</v>
      </c>
      <c r="C96" s="57" t="s">
        <v>173</v>
      </c>
      <c r="D96" s="57" t="s">
        <v>177</v>
      </c>
      <c r="E96" s="57" t="s">
        <v>178</v>
      </c>
      <c r="F96" s="57">
        <f t="shared" si="6"/>
        <v>0</v>
      </c>
      <c r="G96" s="57">
        <v>26.227900000000002</v>
      </c>
      <c r="H96" s="57">
        <v>33.013199999999998</v>
      </c>
      <c r="I96" s="57">
        <v>29.975300000000001</v>
      </c>
      <c r="J96" s="33">
        <f t="shared" si="1"/>
        <v>6.7852999999999959</v>
      </c>
      <c r="K96" s="33">
        <f t="shared" si="2"/>
        <v>3.747399999999999</v>
      </c>
    </row>
    <row r="97" spans="1:11" x14ac:dyDescent="0.2">
      <c r="A97" s="70">
        <v>44628</v>
      </c>
      <c r="B97" s="57">
        <v>2007</v>
      </c>
      <c r="C97" s="57" t="s">
        <v>176</v>
      </c>
      <c r="D97" s="57" t="s">
        <v>177</v>
      </c>
      <c r="E97" s="57" t="s">
        <v>178</v>
      </c>
      <c r="F97" s="57">
        <f t="shared" si="6"/>
        <v>0</v>
      </c>
      <c r="G97" s="57">
        <v>26.1478</v>
      </c>
      <c r="H97" s="57">
        <v>34.927799999999998</v>
      </c>
      <c r="I97" s="57">
        <v>29.704699999999999</v>
      </c>
      <c r="J97" s="33">
        <f t="shared" si="1"/>
        <v>8.7799999999999976</v>
      </c>
      <c r="K97" s="33">
        <f t="shared" si="2"/>
        <v>3.5568999999999988</v>
      </c>
    </row>
    <row r="98" spans="1:11" x14ac:dyDescent="0.2">
      <c r="A98" s="70">
        <v>44635</v>
      </c>
      <c r="B98" s="57">
        <v>2025</v>
      </c>
      <c r="C98" s="57" t="s">
        <v>173</v>
      </c>
      <c r="D98" s="57" t="s">
        <v>177</v>
      </c>
      <c r="E98" s="57" t="s">
        <v>178</v>
      </c>
      <c r="F98" s="57">
        <f t="shared" si="6"/>
        <v>0</v>
      </c>
      <c r="G98" s="57">
        <v>25.893799999999999</v>
      </c>
      <c r="H98" s="57">
        <v>36.029000000000003</v>
      </c>
      <c r="I98" s="57">
        <v>30.113</v>
      </c>
      <c r="J98" s="33">
        <f t="shared" si="1"/>
        <v>10.135200000000005</v>
      </c>
      <c r="K98" s="33">
        <f t="shared" si="2"/>
        <v>4.2192000000000007</v>
      </c>
    </row>
    <row r="99" spans="1:11" x14ac:dyDescent="0.2">
      <c r="A99" s="70">
        <v>44631</v>
      </c>
      <c r="B99" s="57">
        <v>2004</v>
      </c>
      <c r="C99" s="57" t="s">
        <v>176</v>
      </c>
      <c r="D99" s="57" t="s">
        <v>174</v>
      </c>
      <c r="E99" s="57" t="s">
        <v>175</v>
      </c>
      <c r="F99" s="57">
        <f t="shared" si="6"/>
        <v>1</v>
      </c>
      <c r="G99" s="57">
        <v>26.75</v>
      </c>
      <c r="H99" s="57">
        <v>28.767299999999999</v>
      </c>
      <c r="I99" s="57">
        <v>27.5807</v>
      </c>
      <c r="J99" s="33">
        <f t="shared" si="1"/>
        <v>2.0172999999999988</v>
      </c>
      <c r="K99" s="33">
        <f t="shared" si="2"/>
        <v>0.83070000000000022</v>
      </c>
    </row>
    <row r="100" spans="1:11" x14ac:dyDescent="0.2">
      <c r="A100" s="70">
        <v>44635</v>
      </c>
      <c r="B100" s="57">
        <v>2384</v>
      </c>
      <c r="C100" s="57" t="s">
        <v>173</v>
      </c>
      <c r="D100" s="57" t="s">
        <v>177</v>
      </c>
      <c r="E100" s="57" t="s">
        <v>178</v>
      </c>
      <c r="F100" s="57">
        <f t="shared" si="6"/>
        <v>0</v>
      </c>
      <c r="G100" s="57">
        <v>26.381499999999999</v>
      </c>
      <c r="H100" s="57">
        <v>34.600200000000001</v>
      </c>
      <c r="I100" s="57">
        <v>29.432300000000001</v>
      </c>
      <c r="J100" s="33">
        <f t="shared" si="1"/>
        <v>8.2187000000000019</v>
      </c>
      <c r="K100" s="33">
        <f t="shared" si="2"/>
        <v>3.0508000000000024</v>
      </c>
    </row>
    <row r="101" spans="1:11" x14ac:dyDescent="0.2">
      <c r="A101" s="70">
        <v>44635</v>
      </c>
      <c r="B101" s="57">
        <v>2020</v>
      </c>
      <c r="C101" s="57" t="s">
        <v>173</v>
      </c>
      <c r="D101" s="57" t="s">
        <v>177</v>
      </c>
      <c r="E101" s="57" t="s">
        <v>178</v>
      </c>
      <c r="F101" s="57">
        <f t="shared" si="6"/>
        <v>0</v>
      </c>
      <c r="G101" s="57">
        <v>26.032800000000002</v>
      </c>
      <c r="H101" s="57">
        <v>33.477400000000003</v>
      </c>
      <c r="I101" s="57">
        <v>29.169799999999999</v>
      </c>
      <c r="J101" s="33">
        <f t="shared" si="1"/>
        <v>7.4446000000000012</v>
      </c>
      <c r="K101" s="33">
        <f t="shared" si="2"/>
        <v>3.1369999999999969</v>
      </c>
    </row>
    <row r="102" spans="1:11" x14ac:dyDescent="0.2">
      <c r="A102" s="70">
        <v>44628</v>
      </c>
      <c r="B102" s="57">
        <v>2384</v>
      </c>
      <c r="C102" s="57" t="s">
        <v>173</v>
      </c>
      <c r="D102" s="57" t="s">
        <v>174</v>
      </c>
      <c r="E102" s="57" t="s">
        <v>175</v>
      </c>
      <c r="F102" s="57">
        <f t="shared" si="6"/>
        <v>1</v>
      </c>
      <c r="G102" s="57">
        <v>26.532299999999999</v>
      </c>
      <c r="H102" s="57">
        <v>31.968900000000001</v>
      </c>
      <c r="I102" s="57">
        <v>29.686699999999998</v>
      </c>
      <c r="J102" s="33">
        <f t="shared" si="1"/>
        <v>5.4366000000000021</v>
      </c>
      <c r="K102" s="33">
        <f t="shared" si="2"/>
        <v>3.154399999999999</v>
      </c>
    </row>
    <row r="103" spans="1:11" x14ac:dyDescent="0.2">
      <c r="A103" s="70">
        <v>44635</v>
      </c>
      <c r="B103" s="57">
        <v>2089</v>
      </c>
      <c r="C103" s="57" t="s">
        <v>173</v>
      </c>
      <c r="D103" s="57" t="s">
        <v>174</v>
      </c>
      <c r="E103" s="57" t="s">
        <v>178</v>
      </c>
      <c r="F103" s="57">
        <v>2</v>
      </c>
      <c r="G103" s="57">
        <v>26.675799999999999</v>
      </c>
      <c r="H103" s="57">
        <v>28.5837</v>
      </c>
      <c r="I103" s="57">
        <v>28.010899999999999</v>
      </c>
      <c r="J103" s="33">
        <f t="shared" si="1"/>
        <v>1.9079000000000015</v>
      </c>
      <c r="K103" s="33">
        <f t="shared" si="2"/>
        <v>1.3351000000000006</v>
      </c>
    </row>
    <row r="104" spans="1:11" x14ac:dyDescent="0.2">
      <c r="A104" s="70">
        <v>44635</v>
      </c>
      <c r="B104" s="57">
        <v>2382</v>
      </c>
      <c r="C104" s="57" t="s">
        <v>173</v>
      </c>
      <c r="D104" s="57" t="s">
        <v>177</v>
      </c>
      <c r="E104" s="57" t="s">
        <v>178</v>
      </c>
      <c r="F104" s="57">
        <f t="shared" ref="F104:F124" si="7">IF(D104="old",1,0)</f>
        <v>0</v>
      </c>
      <c r="G104" s="57">
        <v>26.004899999999999</v>
      </c>
      <c r="H104" s="57">
        <v>32.1601</v>
      </c>
      <c r="I104" s="57">
        <v>28.461200000000002</v>
      </c>
      <c r="J104" s="33">
        <f t="shared" si="1"/>
        <v>6.1552000000000007</v>
      </c>
      <c r="K104" s="33">
        <f t="shared" si="2"/>
        <v>2.4563000000000024</v>
      </c>
    </row>
    <row r="105" spans="1:11" x14ac:dyDescent="0.2">
      <c r="A105" s="70">
        <v>44628</v>
      </c>
      <c r="B105" s="57">
        <v>2381</v>
      </c>
      <c r="C105" s="57" t="s">
        <v>173</v>
      </c>
      <c r="D105" s="57" t="s">
        <v>177</v>
      </c>
      <c r="E105" s="57" t="s">
        <v>178</v>
      </c>
      <c r="F105" s="57">
        <f t="shared" si="7"/>
        <v>0</v>
      </c>
      <c r="H105" s="57">
        <v>33.6098</v>
      </c>
      <c r="I105" s="57">
        <v>28.474900000000002</v>
      </c>
      <c r="J105" s="33">
        <f t="shared" si="1"/>
        <v>33.6098</v>
      </c>
      <c r="K105" s="33">
        <f t="shared" si="2"/>
        <v>28.474900000000002</v>
      </c>
    </row>
    <row r="106" spans="1:11" x14ac:dyDescent="0.2">
      <c r="A106" s="70">
        <v>44635</v>
      </c>
      <c r="B106" s="57">
        <v>2024</v>
      </c>
      <c r="C106" s="57" t="s">
        <v>173</v>
      </c>
      <c r="D106" s="57" t="s">
        <v>177</v>
      </c>
      <c r="E106" s="57" t="s">
        <v>178</v>
      </c>
      <c r="F106" s="57">
        <f t="shared" si="7"/>
        <v>0</v>
      </c>
      <c r="G106" s="57">
        <v>26.077100000000002</v>
      </c>
      <c r="H106" s="57">
        <v>31.212800000000001</v>
      </c>
      <c r="I106" s="57">
        <v>28.132400000000001</v>
      </c>
      <c r="J106" s="33">
        <f t="shared" si="1"/>
        <v>5.1356999999999999</v>
      </c>
      <c r="K106" s="33">
        <f t="shared" si="2"/>
        <v>2.055299999999999</v>
      </c>
    </row>
    <row r="107" spans="1:11" x14ac:dyDescent="0.2">
      <c r="A107" s="70">
        <v>44628</v>
      </c>
      <c r="B107" s="57">
        <v>2345</v>
      </c>
      <c r="C107" s="57" t="s">
        <v>176</v>
      </c>
      <c r="D107" s="57" t="s">
        <v>174</v>
      </c>
      <c r="E107" s="57" t="s">
        <v>175</v>
      </c>
      <c r="F107" s="57">
        <f t="shared" si="7"/>
        <v>1</v>
      </c>
      <c r="G107" s="57">
        <v>26.481999999999999</v>
      </c>
      <c r="H107" s="57">
        <v>28.153400000000001</v>
      </c>
      <c r="I107" s="57">
        <v>27.459800000000001</v>
      </c>
      <c r="J107" s="33">
        <f t="shared" si="1"/>
        <v>1.671400000000002</v>
      </c>
      <c r="K107" s="33">
        <f t="shared" si="2"/>
        <v>0.977800000000002</v>
      </c>
    </row>
    <row r="108" spans="1:11" x14ac:dyDescent="0.2">
      <c r="A108" s="70">
        <v>44635</v>
      </c>
      <c r="B108" s="57">
        <v>2025</v>
      </c>
      <c r="C108" s="57" t="s">
        <v>173</v>
      </c>
      <c r="D108" s="57" t="s">
        <v>177</v>
      </c>
      <c r="E108" s="57" t="s">
        <v>175</v>
      </c>
      <c r="F108" s="57">
        <f t="shared" si="7"/>
        <v>0</v>
      </c>
      <c r="G108" s="57">
        <v>26.406199999999998</v>
      </c>
      <c r="H108" s="57">
        <v>27.237400000000001</v>
      </c>
      <c r="I108" s="57">
        <v>26.724299999999999</v>
      </c>
      <c r="J108" s="33">
        <f t="shared" si="1"/>
        <v>0.8312000000000026</v>
      </c>
      <c r="K108" s="33">
        <f t="shared" si="2"/>
        <v>0.31810000000000116</v>
      </c>
    </row>
    <row r="109" spans="1:11" x14ac:dyDescent="0.2">
      <c r="A109" s="70">
        <v>44628</v>
      </c>
      <c r="B109" s="57">
        <v>2384</v>
      </c>
      <c r="C109" s="57" t="s">
        <v>173</v>
      </c>
      <c r="D109" s="57" t="s">
        <v>177</v>
      </c>
      <c r="E109" s="57" t="s">
        <v>175</v>
      </c>
      <c r="F109" s="57">
        <f t="shared" si="7"/>
        <v>0</v>
      </c>
      <c r="G109" s="57">
        <v>26.296500000000002</v>
      </c>
      <c r="H109" s="57">
        <v>26.890799999999999</v>
      </c>
      <c r="I109" s="57">
        <v>26.462800000000001</v>
      </c>
      <c r="J109" s="33">
        <f t="shared" si="1"/>
        <v>0.59429999999999694</v>
      </c>
      <c r="K109" s="33">
        <f t="shared" si="2"/>
        <v>0.16629999999999967</v>
      </c>
    </row>
    <row r="110" spans="1:11" x14ac:dyDescent="0.2">
      <c r="A110" s="70">
        <v>44628</v>
      </c>
      <c r="B110" s="57">
        <v>2331</v>
      </c>
      <c r="C110" s="57" t="s">
        <v>176</v>
      </c>
      <c r="D110" s="57" t="s">
        <v>174</v>
      </c>
      <c r="E110" s="57" t="s">
        <v>178</v>
      </c>
      <c r="F110" s="57">
        <f t="shared" si="7"/>
        <v>1</v>
      </c>
      <c r="G110" s="57">
        <v>25.861000000000001</v>
      </c>
      <c r="H110" s="57">
        <v>37.341200000000001</v>
      </c>
      <c r="I110" s="57">
        <v>32.2502</v>
      </c>
      <c r="J110" s="33">
        <f t="shared" si="1"/>
        <v>11.4802</v>
      </c>
      <c r="K110" s="33">
        <f t="shared" si="2"/>
        <v>6.3891999999999989</v>
      </c>
    </row>
    <row r="111" spans="1:11" x14ac:dyDescent="0.2">
      <c r="A111" s="70">
        <v>44635</v>
      </c>
      <c r="B111" s="57">
        <v>2027</v>
      </c>
      <c r="C111" s="57" t="s">
        <v>173</v>
      </c>
      <c r="D111" s="57" t="s">
        <v>177</v>
      </c>
      <c r="E111" s="57" t="s">
        <v>178</v>
      </c>
      <c r="F111" s="57">
        <f t="shared" si="7"/>
        <v>0</v>
      </c>
      <c r="G111" s="57">
        <v>26.518799999999999</v>
      </c>
      <c r="H111" s="57">
        <v>34.1571</v>
      </c>
      <c r="I111" s="57">
        <v>29.898099999999999</v>
      </c>
      <c r="J111" s="33">
        <f t="shared" si="1"/>
        <v>7.638300000000001</v>
      </c>
      <c r="K111" s="33">
        <f t="shared" si="2"/>
        <v>3.3793000000000006</v>
      </c>
    </row>
    <row r="112" spans="1:11" x14ac:dyDescent="0.2">
      <c r="A112" s="70">
        <v>44635</v>
      </c>
      <c r="B112" s="57">
        <v>2382</v>
      </c>
      <c r="C112" s="57" t="s">
        <v>173</v>
      </c>
      <c r="D112" s="57" t="s">
        <v>174</v>
      </c>
      <c r="E112" s="57" t="s">
        <v>175</v>
      </c>
      <c r="F112" s="57">
        <f t="shared" si="7"/>
        <v>1</v>
      </c>
      <c r="G112" s="57">
        <v>26.339500000000001</v>
      </c>
      <c r="H112" s="57">
        <v>27.214099999999998</v>
      </c>
      <c r="I112" s="57">
        <v>26.906099999999999</v>
      </c>
      <c r="J112" s="33">
        <f t="shared" si="1"/>
        <v>0.87459999999999738</v>
      </c>
      <c r="K112" s="33">
        <f t="shared" si="2"/>
        <v>0.56659999999999755</v>
      </c>
    </row>
    <row r="113" spans="1:11" x14ac:dyDescent="0.2">
      <c r="A113" s="70">
        <v>44635</v>
      </c>
      <c r="B113" s="57">
        <v>2093</v>
      </c>
      <c r="C113" s="57" t="s">
        <v>173</v>
      </c>
      <c r="D113" s="57" t="s">
        <v>174</v>
      </c>
      <c r="E113" s="57" t="s">
        <v>175</v>
      </c>
      <c r="F113" s="57">
        <f t="shared" si="7"/>
        <v>1</v>
      </c>
      <c r="G113" s="57">
        <v>26.423999999999999</v>
      </c>
      <c r="H113" s="57">
        <v>27.630299999999998</v>
      </c>
      <c r="I113" s="57">
        <v>27.135400000000001</v>
      </c>
      <c r="J113" s="33">
        <f t="shared" si="1"/>
        <v>1.2062999999999988</v>
      </c>
      <c r="K113" s="33">
        <f t="shared" si="2"/>
        <v>0.71140000000000114</v>
      </c>
    </row>
    <row r="114" spans="1:11" x14ac:dyDescent="0.2">
      <c r="A114" s="70">
        <v>44628</v>
      </c>
      <c r="B114" s="57">
        <v>2376</v>
      </c>
      <c r="C114" s="57" t="s">
        <v>176</v>
      </c>
      <c r="D114" s="57" t="s">
        <v>174</v>
      </c>
      <c r="E114" s="57" t="s">
        <v>175</v>
      </c>
      <c r="F114" s="57">
        <f t="shared" si="7"/>
        <v>1</v>
      </c>
      <c r="G114" s="57">
        <v>26.046900000000001</v>
      </c>
      <c r="H114" s="57">
        <v>27.177900000000001</v>
      </c>
      <c r="I114" s="57">
        <v>26.683199999999999</v>
      </c>
      <c r="J114" s="33">
        <f t="shared" si="1"/>
        <v>1.1310000000000002</v>
      </c>
      <c r="K114" s="33">
        <f t="shared" si="2"/>
        <v>0.63629999999999853</v>
      </c>
    </row>
    <row r="115" spans="1:11" x14ac:dyDescent="0.2">
      <c r="A115" s="70">
        <v>44635</v>
      </c>
      <c r="B115" s="57">
        <v>2089</v>
      </c>
      <c r="D115" s="57" t="s">
        <v>177</v>
      </c>
      <c r="E115" s="57" t="s">
        <v>175</v>
      </c>
      <c r="F115" s="57">
        <f t="shared" si="7"/>
        <v>0</v>
      </c>
      <c r="G115" s="57">
        <v>25.792100000000001</v>
      </c>
      <c r="H115" s="57">
        <v>27.144600000000001</v>
      </c>
      <c r="I115" s="57">
        <v>26.578299999999999</v>
      </c>
      <c r="J115" s="33">
        <f t="shared" si="1"/>
        <v>1.3524999999999991</v>
      </c>
      <c r="K115" s="33">
        <f t="shared" si="2"/>
        <v>0.78619999999999735</v>
      </c>
    </row>
    <row r="116" spans="1:11" x14ac:dyDescent="0.2">
      <c r="A116" s="70">
        <v>44635</v>
      </c>
      <c r="B116" s="57">
        <v>2021</v>
      </c>
      <c r="C116" s="57" t="s">
        <v>173</v>
      </c>
      <c r="D116" s="57" t="s">
        <v>174</v>
      </c>
      <c r="E116" s="57" t="s">
        <v>175</v>
      </c>
      <c r="F116" s="57">
        <f t="shared" si="7"/>
        <v>1</v>
      </c>
      <c r="G116" s="57">
        <v>26.2103</v>
      </c>
      <c r="H116" s="57">
        <v>28.216100000000001</v>
      </c>
      <c r="I116" s="57">
        <v>27</v>
      </c>
      <c r="J116" s="33">
        <f t="shared" si="1"/>
        <v>2.0058000000000007</v>
      </c>
      <c r="K116" s="33">
        <f t="shared" si="2"/>
        <v>0.78969999999999985</v>
      </c>
    </row>
    <row r="117" spans="1:11" x14ac:dyDescent="0.2">
      <c r="A117" s="70">
        <v>44635</v>
      </c>
      <c r="B117" s="57">
        <v>2093</v>
      </c>
      <c r="C117" s="57" t="s">
        <v>173</v>
      </c>
      <c r="D117" s="57" t="s">
        <v>177</v>
      </c>
      <c r="E117" s="57" t="s">
        <v>178</v>
      </c>
      <c r="F117" s="57">
        <f t="shared" si="7"/>
        <v>0</v>
      </c>
      <c r="G117" s="57">
        <v>26.392499999999998</v>
      </c>
      <c r="H117" s="57">
        <v>26.5626</v>
      </c>
      <c r="I117" s="57">
        <v>26.507899999999999</v>
      </c>
      <c r="J117" s="33">
        <f t="shared" si="1"/>
        <v>0.17010000000000147</v>
      </c>
      <c r="K117" s="33">
        <f t="shared" si="2"/>
        <v>0.11540000000000106</v>
      </c>
    </row>
    <row r="118" spans="1:11" x14ac:dyDescent="0.2">
      <c r="A118" s="70">
        <v>44628</v>
      </c>
      <c r="B118" s="57">
        <v>2377</v>
      </c>
      <c r="C118" s="57" t="s">
        <v>173</v>
      </c>
      <c r="D118" s="57" t="s">
        <v>177</v>
      </c>
      <c r="E118" s="57" t="s">
        <v>178</v>
      </c>
      <c r="F118" s="57">
        <f t="shared" si="7"/>
        <v>0</v>
      </c>
      <c r="G118" s="57">
        <v>25.815000000000001</v>
      </c>
      <c r="H118" s="57">
        <v>26.940200000000001</v>
      </c>
      <c r="I118" s="57">
        <v>26.2056</v>
      </c>
      <c r="J118" s="33">
        <f t="shared" si="1"/>
        <v>1.1251999999999995</v>
      </c>
      <c r="K118" s="33">
        <f t="shared" si="2"/>
        <v>0.39059999999999917</v>
      </c>
    </row>
    <row r="119" spans="1:11" x14ac:dyDescent="0.2">
      <c r="A119" s="70">
        <v>44635</v>
      </c>
      <c r="B119" s="57">
        <v>2093</v>
      </c>
      <c r="C119" s="57" t="s">
        <v>173</v>
      </c>
      <c r="D119" s="57" t="s">
        <v>177</v>
      </c>
      <c r="E119" s="57" t="s">
        <v>175</v>
      </c>
      <c r="F119" s="57">
        <f t="shared" si="7"/>
        <v>0</v>
      </c>
      <c r="G119" s="57">
        <v>25.917300000000001</v>
      </c>
      <c r="H119" s="57">
        <v>25.905100000000001</v>
      </c>
      <c r="I119" s="57">
        <v>25.928799999999999</v>
      </c>
      <c r="J119" s="33">
        <f t="shared" si="1"/>
        <v>-1.2199999999999989E-2</v>
      </c>
      <c r="K119" s="33">
        <f t="shared" si="2"/>
        <v>1.1499999999998067E-2</v>
      </c>
    </row>
    <row r="120" spans="1:11" x14ac:dyDescent="0.2">
      <c r="A120" s="70">
        <v>44628</v>
      </c>
      <c r="B120" s="57">
        <v>2345</v>
      </c>
      <c r="C120" s="57" t="s">
        <v>173</v>
      </c>
      <c r="D120" s="57" t="s">
        <v>174</v>
      </c>
      <c r="E120" s="57" t="s">
        <v>175</v>
      </c>
      <c r="F120" s="57">
        <f t="shared" si="7"/>
        <v>1</v>
      </c>
      <c r="G120" s="57">
        <v>26.314800000000002</v>
      </c>
      <c r="H120" s="57">
        <v>30.502600000000001</v>
      </c>
      <c r="I120" s="57">
        <v>28.398399999999999</v>
      </c>
      <c r="J120" s="33">
        <f t="shared" si="1"/>
        <v>4.1877999999999993</v>
      </c>
      <c r="K120" s="33">
        <f t="shared" si="2"/>
        <v>2.083599999999997</v>
      </c>
    </row>
    <row r="121" spans="1:11" x14ac:dyDescent="0.2">
      <c r="A121" s="70">
        <v>44628</v>
      </c>
      <c r="B121" s="57">
        <v>2381</v>
      </c>
      <c r="C121" s="57" t="s">
        <v>176</v>
      </c>
      <c r="D121" s="57" t="s">
        <v>177</v>
      </c>
      <c r="E121" s="57" t="s">
        <v>175</v>
      </c>
      <c r="F121" s="57">
        <f t="shared" si="7"/>
        <v>0</v>
      </c>
      <c r="G121" s="57">
        <v>25.9375</v>
      </c>
      <c r="H121" s="57">
        <v>27.290700000000001</v>
      </c>
      <c r="I121" s="57">
        <v>26.277200000000001</v>
      </c>
      <c r="J121" s="33">
        <f t="shared" si="1"/>
        <v>1.3532000000000011</v>
      </c>
      <c r="K121" s="33">
        <f t="shared" si="2"/>
        <v>0.33970000000000056</v>
      </c>
    </row>
    <row r="122" spans="1:11" x14ac:dyDescent="0.2">
      <c r="A122" s="70">
        <v>44628</v>
      </c>
      <c r="B122" s="57">
        <v>2301</v>
      </c>
      <c r="C122" s="57" t="s">
        <v>176</v>
      </c>
      <c r="D122" s="57" t="s">
        <v>174</v>
      </c>
      <c r="E122" s="57" t="s">
        <v>175</v>
      </c>
      <c r="F122" s="57">
        <f t="shared" si="7"/>
        <v>1</v>
      </c>
      <c r="G122" s="57">
        <v>26.3736</v>
      </c>
      <c r="H122" s="57">
        <v>27.8293</v>
      </c>
      <c r="I122" s="57">
        <v>26.98</v>
      </c>
      <c r="J122" s="33">
        <f t="shared" si="1"/>
        <v>1.4557000000000002</v>
      </c>
      <c r="K122" s="33">
        <f t="shared" si="2"/>
        <v>0.60640000000000072</v>
      </c>
    </row>
    <row r="123" spans="1:11" x14ac:dyDescent="0.2">
      <c r="A123" s="70">
        <v>44635</v>
      </c>
      <c r="B123" s="57">
        <v>2022</v>
      </c>
      <c r="C123" s="57" t="s">
        <v>173</v>
      </c>
      <c r="D123" s="57" t="s">
        <v>177</v>
      </c>
      <c r="E123" s="57" t="s">
        <v>178</v>
      </c>
      <c r="F123" s="57">
        <f t="shared" si="7"/>
        <v>0</v>
      </c>
      <c r="G123" s="57">
        <v>26.534500000000001</v>
      </c>
      <c r="H123" s="57">
        <v>33.658799999999999</v>
      </c>
      <c r="I123" s="57">
        <v>29.7896</v>
      </c>
      <c r="J123" s="33">
        <f t="shared" si="1"/>
        <v>7.1242999999999981</v>
      </c>
      <c r="K123" s="33">
        <f t="shared" si="2"/>
        <v>3.2550999999999988</v>
      </c>
    </row>
    <row r="124" spans="1:11" x14ac:dyDescent="0.2">
      <c r="A124" s="70">
        <v>44628</v>
      </c>
      <c r="B124" s="57">
        <v>2377</v>
      </c>
      <c r="C124" s="57" t="s">
        <v>173</v>
      </c>
      <c r="D124" s="57" t="s">
        <v>174</v>
      </c>
      <c r="E124" s="57" t="s">
        <v>175</v>
      </c>
      <c r="F124" s="57">
        <f t="shared" si="7"/>
        <v>1</v>
      </c>
      <c r="G124" s="57">
        <v>26.2471</v>
      </c>
      <c r="H124" s="57">
        <v>29.8444</v>
      </c>
      <c r="I124" s="57">
        <v>28.372399999999999</v>
      </c>
      <c r="J124" s="33">
        <f t="shared" si="1"/>
        <v>3.5973000000000006</v>
      </c>
      <c r="K124" s="33">
        <f t="shared" si="2"/>
        <v>2.1252999999999993</v>
      </c>
    </row>
    <row r="125" spans="1:11" x14ac:dyDescent="0.2">
      <c r="A125" s="70">
        <v>44635</v>
      </c>
      <c r="B125" s="57">
        <v>2092</v>
      </c>
      <c r="C125" s="57" t="s">
        <v>173</v>
      </c>
      <c r="D125" s="57" t="s">
        <v>174</v>
      </c>
      <c r="E125" s="57" t="s">
        <v>178</v>
      </c>
      <c r="F125" s="57">
        <v>2</v>
      </c>
      <c r="G125" s="57">
        <v>26.3995</v>
      </c>
      <c r="H125" s="57">
        <v>28.779699999999998</v>
      </c>
      <c r="I125" s="57">
        <v>27.743099999999998</v>
      </c>
      <c r="J125" s="33">
        <f t="shared" si="1"/>
        <v>2.3801999999999985</v>
      </c>
      <c r="K125" s="33">
        <f t="shared" si="2"/>
        <v>1.3435999999999986</v>
      </c>
    </row>
    <row r="126" spans="1:11" x14ac:dyDescent="0.2">
      <c r="A126" s="70">
        <v>44635</v>
      </c>
      <c r="B126" s="57">
        <v>2022</v>
      </c>
      <c r="C126" s="57" t="s">
        <v>173</v>
      </c>
      <c r="D126" s="57" t="s">
        <v>177</v>
      </c>
      <c r="E126" s="57" t="s">
        <v>175</v>
      </c>
      <c r="F126" s="57">
        <f t="shared" ref="F126:F295" si="8">IF(D126="old",1,0)</f>
        <v>0</v>
      </c>
      <c r="G126" s="57">
        <v>25.846800000000002</v>
      </c>
      <c r="H126" s="57">
        <v>26.883800000000001</v>
      </c>
      <c r="I126" s="57">
        <v>26.0413</v>
      </c>
      <c r="J126" s="33">
        <f t="shared" si="1"/>
        <v>1.036999999999999</v>
      </c>
      <c r="K126" s="33">
        <f t="shared" si="2"/>
        <v>0.1944999999999979</v>
      </c>
    </row>
    <row r="127" spans="1:11" x14ac:dyDescent="0.2">
      <c r="A127" s="70">
        <v>44628</v>
      </c>
      <c r="B127" s="57">
        <v>2382</v>
      </c>
      <c r="C127" s="57" t="s">
        <v>173</v>
      </c>
      <c r="D127" s="57" t="s">
        <v>174</v>
      </c>
      <c r="E127" s="57" t="s">
        <v>178</v>
      </c>
      <c r="F127" s="57">
        <f t="shared" si="8"/>
        <v>1</v>
      </c>
      <c r="G127" s="57">
        <v>25.892800000000001</v>
      </c>
      <c r="H127" s="57">
        <v>34.395699999999998</v>
      </c>
      <c r="I127" s="57">
        <v>28.6951</v>
      </c>
      <c r="J127" s="33">
        <f t="shared" si="1"/>
        <v>8.5028999999999968</v>
      </c>
      <c r="K127" s="33">
        <f t="shared" si="2"/>
        <v>2.8022999999999989</v>
      </c>
    </row>
    <row r="128" spans="1:11" x14ac:dyDescent="0.2">
      <c r="A128" s="70">
        <v>44628</v>
      </c>
      <c r="B128" s="57">
        <v>2380</v>
      </c>
      <c r="C128" s="57" t="s">
        <v>173</v>
      </c>
      <c r="D128" s="57" t="s">
        <v>174</v>
      </c>
      <c r="E128" s="57" t="s">
        <v>175</v>
      </c>
      <c r="F128" s="57">
        <f t="shared" si="8"/>
        <v>1</v>
      </c>
      <c r="G128" s="57">
        <v>26.188600000000001</v>
      </c>
      <c r="H128" s="57">
        <v>28.5517</v>
      </c>
      <c r="I128" s="57">
        <v>27.5106</v>
      </c>
      <c r="J128" s="33">
        <f t="shared" si="1"/>
        <v>2.3630999999999993</v>
      </c>
      <c r="K128" s="33">
        <f t="shared" si="2"/>
        <v>1.3219999999999992</v>
      </c>
    </row>
    <row r="129" spans="1:11" x14ac:dyDescent="0.2">
      <c r="A129" s="70">
        <v>44635</v>
      </c>
      <c r="B129" s="57">
        <v>2023</v>
      </c>
      <c r="C129" s="57" t="s">
        <v>173</v>
      </c>
      <c r="D129" s="57" t="s">
        <v>174</v>
      </c>
      <c r="E129" s="57" t="s">
        <v>175</v>
      </c>
      <c r="F129" s="57">
        <f t="shared" si="8"/>
        <v>1</v>
      </c>
      <c r="G129" s="57">
        <v>25.899000000000001</v>
      </c>
      <c r="H129" s="57">
        <v>26.8049</v>
      </c>
      <c r="I129" s="57">
        <v>26.321000000000002</v>
      </c>
      <c r="J129" s="33">
        <f t="shared" si="1"/>
        <v>0.90589999999999904</v>
      </c>
      <c r="K129" s="33">
        <f t="shared" si="2"/>
        <v>0.4220000000000006</v>
      </c>
    </row>
    <row r="130" spans="1:11" x14ac:dyDescent="0.2">
      <c r="A130" s="70">
        <v>44635</v>
      </c>
      <c r="B130" s="57">
        <v>2323</v>
      </c>
      <c r="C130" s="57" t="s">
        <v>173</v>
      </c>
      <c r="D130" s="57" t="s">
        <v>174</v>
      </c>
      <c r="E130" s="57" t="s">
        <v>178</v>
      </c>
      <c r="F130" s="57">
        <f t="shared" si="8"/>
        <v>1</v>
      </c>
      <c r="G130" s="57">
        <v>25.417100000000001</v>
      </c>
      <c r="H130" s="57">
        <v>29.776</v>
      </c>
      <c r="I130" s="57">
        <v>27.860399999999998</v>
      </c>
      <c r="J130" s="33">
        <f t="shared" si="1"/>
        <v>4.3588999999999984</v>
      </c>
      <c r="K130" s="33">
        <f t="shared" si="2"/>
        <v>2.4432999999999971</v>
      </c>
    </row>
    <row r="131" spans="1:11" x14ac:dyDescent="0.2">
      <c r="A131" s="70">
        <v>44631</v>
      </c>
      <c r="B131" s="57">
        <v>2023</v>
      </c>
      <c r="C131" s="57" t="s">
        <v>176</v>
      </c>
      <c r="D131" s="57" t="s">
        <v>174</v>
      </c>
      <c r="E131" s="57" t="s">
        <v>175</v>
      </c>
      <c r="F131" s="57">
        <f t="shared" si="8"/>
        <v>1</v>
      </c>
      <c r="G131" s="57">
        <v>15.2661</v>
      </c>
      <c r="H131" s="57">
        <v>17.575700000000001</v>
      </c>
      <c r="I131" s="57">
        <v>16.266400000000001</v>
      </c>
      <c r="J131" s="33">
        <f t="shared" si="1"/>
        <v>2.3096000000000014</v>
      </c>
      <c r="K131" s="33">
        <f t="shared" si="2"/>
        <v>1.0003000000000011</v>
      </c>
    </row>
    <row r="132" spans="1:11" x14ac:dyDescent="0.2">
      <c r="A132" s="70">
        <v>44631</v>
      </c>
      <c r="B132" s="57">
        <v>2023</v>
      </c>
      <c r="C132" s="57" t="s">
        <v>176</v>
      </c>
      <c r="D132" s="57" t="s">
        <v>177</v>
      </c>
      <c r="E132" s="57" t="s">
        <v>175</v>
      </c>
      <c r="F132" s="57">
        <f t="shared" si="8"/>
        <v>0</v>
      </c>
      <c r="G132" s="57">
        <v>15.4284</v>
      </c>
      <c r="H132" s="57">
        <v>16.2882</v>
      </c>
      <c r="I132" s="57">
        <v>15.7615</v>
      </c>
      <c r="J132" s="33">
        <f t="shared" si="1"/>
        <v>0.8597999999999999</v>
      </c>
      <c r="K132" s="33">
        <f t="shared" si="2"/>
        <v>0.33309999999999995</v>
      </c>
    </row>
    <row r="133" spans="1:11" x14ac:dyDescent="0.2">
      <c r="A133" s="70">
        <v>44631</v>
      </c>
      <c r="B133" s="57">
        <v>2024</v>
      </c>
      <c r="C133" s="57" t="s">
        <v>176</v>
      </c>
      <c r="D133" s="57" t="s">
        <v>174</v>
      </c>
      <c r="E133" s="57" t="s">
        <v>175</v>
      </c>
      <c r="F133" s="57">
        <f t="shared" si="8"/>
        <v>1</v>
      </c>
      <c r="G133" s="57">
        <v>15.8195</v>
      </c>
      <c r="H133" s="57">
        <v>16.585000000000001</v>
      </c>
      <c r="I133" s="57">
        <v>16.386199999999999</v>
      </c>
      <c r="J133" s="33">
        <f t="shared" si="1"/>
        <v>0.76550000000000118</v>
      </c>
      <c r="K133" s="33">
        <f t="shared" si="2"/>
        <v>0.56669999999999909</v>
      </c>
    </row>
    <row r="134" spans="1:11" x14ac:dyDescent="0.2">
      <c r="A134" s="70">
        <v>44628</v>
      </c>
      <c r="B134" s="57">
        <v>2381</v>
      </c>
      <c r="C134" s="57" t="s">
        <v>173</v>
      </c>
      <c r="D134" s="57" t="s">
        <v>177</v>
      </c>
      <c r="E134" s="57" t="s">
        <v>178</v>
      </c>
      <c r="F134" s="57">
        <f t="shared" si="8"/>
        <v>0</v>
      </c>
      <c r="G134" s="57">
        <v>25.9892</v>
      </c>
      <c r="H134" s="57">
        <v>33.6098</v>
      </c>
      <c r="I134" s="57">
        <v>28.474900000000002</v>
      </c>
      <c r="J134" s="33">
        <f t="shared" si="1"/>
        <v>7.6205999999999996</v>
      </c>
      <c r="K134" s="33">
        <f t="shared" si="2"/>
        <v>2.4857000000000014</v>
      </c>
    </row>
    <row r="135" spans="1:11" x14ac:dyDescent="0.2">
      <c r="A135" s="70">
        <v>44631</v>
      </c>
      <c r="B135" s="57">
        <v>2389</v>
      </c>
      <c r="C135" s="57" t="s">
        <v>176</v>
      </c>
      <c r="D135" s="57" t="s">
        <v>174</v>
      </c>
      <c r="E135" s="57" t="s">
        <v>175</v>
      </c>
      <c r="F135" s="57">
        <f t="shared" si="8"/>
        <v>1</v>
      </c>
      <c r="G135" s="57">
        <v>26.798999999999999</v>
      </c>
      <c r="H135" s="57">
        <v>27.7424</v>
      </c>
      <c r="I135" s="57">
        <v>27.418700000000001</v>
      </c>
      <c r="J135" s="33">
        <f t="shared" si="1"/>
        <v>0.94340000000000046</v>
      </c>
      <c r="K135" s="33">
        <f t="shared" si="2"/>
        <v>0.61970000000000169</v>
      </c>
    </row>
    <row r="136" spans="1:11" x14ac:dyDescent="0.2">
      <c r="A136" s="70">
        <v>44631</v>
      </c>
      <c r="B136" s="57">
        <v>2379</v>
      </c>
      <c r="C136" s="57" t="s">
        <v>173</v>
      </c>
      <c r="D136" s="57" t="s">
        <v>177</v>
      </c>
      <c r="E136" s="57" t="s">
        <v>178</v>
      </c>
      <c r="F136" s="57">
        <f t="shared" si="8"/>
        <v>0</v>
      </c>
      <c r="G136" s="57">
        <v>26.703700000000001</v>
      </c>
      <c r="H136" s="57">
        <v>34.385899999999999</v>
      </c>
      <c r="I136" s="57">
        <v>30.021599999999999</v>
      </c>
      <c r="J136" s="33">
        <f t="shared" si="1"/>
        <v>7.6821999999999981</v>
      </c>
      <c r="K136" s="33">
        <f t="shared" si="2"/>
        <v>3.3178999999999981</v>
      </c>
    </row>
    <row r="137" spans="1:11" x14ac:dyDescent="0.2">
      <c r="A137" s="70">
        <v>44631</v>
      </c>
      <c r="B137" s="57">
        <v>2020</v>
      </c>
      <c r="C137" s="57" t="s">
        <v>176</v>
      </c>
      <c r="D137" s="57" t="s">
        <v>177</v>
      </c>
      <c r="E137" s="57" t="s">
        <v>178</v>
      </c>
      <c r="F137" s="57">
        <f t="shared" si="8"/>
        <v>0</v>
      </c>
      <c r="G137" s="57">
        <v>25.918900000000001</v>
      </c>
      <c r="H137" s="57">
        <v>39.115499999999997</v>
      </c>
      <c r="I137" s="57">
        <v>31.6403</v>
      </c>
      <c r="J137" s="33">
        <f t="shared" si="1"/>
        <v>13.196599999999997</v>
      </c>
      <c r="K137" s="33">
        <f t="shared" si="2"/>
        <v>5.7213999999999992</v>
      </c>
    </row>
    <row r="138" spans="1:11" x14ac:dyDescent="0.2">
      <c r="A138" s="70">
        <v>44631</v>
      </c>
      <c r="B138" s="57">
        <v>2378</v>
      </c>
      <c r="C138" s="57" t="s">
        <v>173</v>
      </c>
      <c r="D138" s="57" t="s">
        <v>177</v>
      </c>
      <c r="E138" s="57" t="s">
        <v>175</v>
      </c>
      <c r="F138" s="57">
        <f t="shared" si="8"/>
        <v>0</v>
      </c>
      <c r="G138" s="57">
        <v>26.031500000000001</v>
      </c>
      <c r="H138" s="57">
        <v>27.242699999999999</v>
      </c>
      <c r="I138" s="57">
        <v>26.305499999999999</v>
      </c>
      <c r="J138" s="33">
        <f t="shared" si="1"/>
        <v>1.2111999999999981</v>
      </c>
      <c r="K138" s="33">
        <f t="shared" si="2"/>
        <v>0.27399999999999736</v>
      </c>
    </row>
    <row r="139" spans="1:11" x14ac:dyDescent="0.2">
      <c r="A139" s="70">
        <v>44631</v>
      </c>
      <c r="B139" s="57">
        <v>2025</v>
      </c>
      <c r="C139" s="57" t="s">
        <v>176</v>
      </c>
      <c r="D139" s="57" t="s">
        <v>174</v>
      </c>
      <c r="E139" s="57" t="s">
        <v>175</v>
      </c>
      <c r="F139" s="57">
        <f t="shared" si="8"/>
        <v>1</v>
      </c>
      <c r="G139" s="57">
        <v>26.3477</v>
      </c>
      <c r="H139" s="57">
        <v>27.301100000000002</v>
      </c>
      <c r="I139" s="57">
        <v>26.855899999999998</v>
      </c>
      <c r="J139" s="33">
        <f t="shared" si="1"/>
        <v>0.95340000000000202</v>
      </c>
      <c r="K139" s="33">
        <f t="shared" si="2"/>
        <v>0.50819999999999865</v>
      </c>
    </row>
    <row r="140" spans="1:11" x14ac:dyDescent="0.2">
      <c r="A140" s="70">
        <v>44631</v>
      </c>
      <c r="B140" s="57">
        <v>2383</v>
      </c>
      <c r="C140" s="57" t="s">
        <v>173</v>
      </c>
      <c r="D140" s="57" t="s">
        <v>177</v>
      </c>
      <c r="E140" s="57" t="s">
        <v>175</v>
      </c>
      <c r="F140" s="57">
        <f t="shared" si="8"/>
        <v>0</v>
      </c>
      <c r="G140" s="57">
        <v>26.650300000000001</v>
      </c>
      <c r="H140" s="57">
        <v>26.8188</v>
      </c>
      <c r="I140" s="57">
        <v>26.806799999999999</v>
      </c>
      <c r="J140" s="33">
        <f t="shared" si="1"/>
        <v>0.1684999999999981</v>
      </c>
      <c r="K140" s="33">
        <f t="shared" si="2"/>
        <v>0.15649999999999764</v>
      </c>
    </row>
    <row r="141" spans="1:11" x14ac:dyDescent="0.2">
      <c r="A141" s="70">
        <v>44631</v>
      </c>
      <c r="B141" s="57">
        <v>2354</v>
      </c>
      <c r="C141" s="57" t="s">
        <v>173</v>
      </c>
      <c r="D141" s="57" t="s">
        <v>177</v>
      </c>
      <c r="E141" s="57" t="s">
        <v>175</v>
      </c>
      <c r="F141" s="57">
        <f t="shared" si="8"/>
        <v>0</v>
      </c>
      <c r="G141" s="57">
        <v>25.8248</v>
      </c>
      <c r="H141" s="57">
        <v>26.374400000000001</v>
      </c>
      <c r="I141" s="57">
        <v>25.8735</v>
      </c>
      <c r="J141" s="33">
        <f t="shared" si="1"/>
        <v>0.54960000000000164</v>
      </c>
      <c r="K141" s="33">
        <f t="shared" si="2"/>
        <v>4.8700000000000188E-2</v>
      </c>
    </row>
    <row r="142" spans="1:11" x14ac:dyDescent="0.2">
      <c r="A142" s="70">
        <v>44631</v>
      </c>
      <c r="B142" s="57">
        <v>2089</v>
      </c>
      <c r="C142" s="57" t="s">
        <v>176</v>
      </c>
      <c r="D142" s="57" t="s">
        <v>177</v>
      </c>
      <c r="E142" s="57" t="s">
        <v>175</v>
      </c>
      <c r="F142" s="57">
        <f t="shared" si="8"/>
        <v>0</v>
      </c>
      <c r="G142" s="57">
        <v>15.1028</v>
      </c>
      <c r="H142" s="57">
        <v>15.7034</v>
      </c>
      <c r="I142" s="57">
        <v>15.466100000000001</v>
      </c>
      <c r="J142" s="33">
        <f t="shared" si="1"/>
        <v>0.60060000000000002</v>
      </c>
      <c r="K142" s="33">
        <f t="shared" si="2"/>
        <v>0.36330000000000062</v>
      </c>
    </row>
    <row r="143" spans="1:11" x14ac:dyDescent="0.2">
      <c r="A143" s="70">
        <v>44631</v>
      </c>
      <c r="B143" s="57">
        <v>2020</v>
      </c>
      <c r="C143" s="57" t="s">
        <v>176</v>
      </c>
      <c r="D143" s="57" t="s">
        <v>177</v>
      </c>
      <c r="E143" s="57" t="s">
        <v>175</v>
      </c>
      <c r="F143" s="57">
        <f t="shared" si="8"/>
        <v>0</v>
      </c>
      <c r="G143" s="57">
        <v>15.2598</v>
      </c>
      <c r="H143" s="57">
        <v>16.517800000000001</v>
      </c>
      <c r="I143" s="57">
        <v>15.582599999999999</v>
      </c>
      <c r="J143" s="33">
        <f t="shared" si="1"/>
        <v>1.2580000000000009</v>
      </c>
      <c r="K143" s="33">
        <f t="shared" si="2"/>
        <v>0.32279999999999909</v>
      </c>
    </row>
    <row r="144" spans="1:11" x14ac:dyDescent="0.2">
      <c r="A144" s="70">
        <v>44628</v>
      </c>
      <c r="B144" s="57">
        <v>2331</v>
      </c>
      <c r="C144" s="57" t="s">
        <v>176</v>
      </c>
      <c r="D144" s="57" t="s">
        <v>174</v>
      </c>
      <c r="E144" s="57" t="s">
        <v>175</v>
      </c>
      <c r="F144" s="57">
        <f t="shared" si="8"/>
        <v>1</v>
      </c>
      <c r="G144" s="57">
        <v>26.480599999999999</v>
      </c>
      <c r="H144" s="57">
        <v>28.222000000000001</v>
      </c>
      <c r="I144" s="57">
        <v>27.511500000000002</v>
      </c>
      <c r="J144" s="33">
        <f t="shared" si="1"/>
        <v>1.7414000000000023</v>
      </c>
      <c r="K144" s="33">
        <f t="shared" si="2"/>
        <v>1.0309000000000026</v>
      </c>
    </row>
    <row r="145" spans="1:11" x14ac:dyDescent="0.2">
      <c r="A145" s="70">
        <v>44631</v>
      </c>
      <c r="B145" s="57">
        <v>2004</v>
      </c>
      <c r="C145" s="57" t="s">
        <v>176</v>
      </c>
      <c r="D145" s="57" t="s">
        <v>177</v>
      </c>
      <c r="E145" s="57" t="s">
        <v>178</v>
      </c>
      <c r="F145" s="57">
        <f t="shared" si="8"/>
        <v>0</v>
      </c>
      <c r="G145" s="57">
        <v>26.535799999999998</v>
      </c>
      <c r="H145" s="57">
        <v>35.064700000000002</v>
      </c>
      <c r="I145" s="57">
        <v>29.567299999999999</v>
      </c>
      <c r="J145" s="33">
        <f t="shared" si="1"/>
        <v>8.5289000000000037</v>
      </c>
      <c r="K145" s="33">
        <f t="shared" si="2"/>
        <v>3.0315000000000012</v>
      </c>
    </row>
    <row r="146" spans="1:11" x14ac:dyDescent="0.2">
      <c r="A146" s="70">
        <v>44631</v>
      </c>
      <c r="B146" s="57">
        <v>2023</v>
      </c>
      <c r="C146" s="57" t="s">
        <v>176</v>
      </c>
      <c r="D146" s="57" t="s">
        <v>177</v>
      </c>
      <c r="E146" s="57" t="s">
        <v>178</v>
      </c>
      <c r="F146" s="57">
        <f t="shared" si="8"/>
        <v>0</v>
      </c>
      <c r="G146" s="57">
        <v>26.680499999999999</v>
      </c>
      <c r="H146" s="57">
        <v>32.709000000000003</v>
      </c>
      <c r="I146" s="57">
        <v>29.514399999999998</v>
      </c>
      <c r="J146" s="33">
        <f t="shared" si="1"/>
        <v>6.0285000000000046</v>
      </c>
      <c r="K146" s="33">
        <f t="shared" si="2"/>
        <v>2.8338999999999999</v>
      </c>
    </row>
    <row r="147" spans="1:11" x14ac:dyDescent="0.2">
      <c r="A147" s="70">
        <v>44631</v>
      </c>
      <c r="B147" s="57">
        <v>2021</v>
      </c>
      <c r="C147" s="57" t="s">
        <v>176</v>
      </c>
      <c r="D147" s="57" t="s">
        <v>174</v>
      </c>
      <c r="E147" s="57" t="s">
        <v>175</v>
      </c>
      <c r="F147" s="57">
        <f t="shared" si="8"/>
        <v>1</v>
      </c>
      <c r="G147" s="57">
        <v>25.951899999999998</v>
      </c>
      <c r="H147" s="57">
        <v>29.5548</v>
      </c>
      <c r="I147" s="57">
        <v>27.957999999999998</v>
      </c>
      <c r="J147" s="33">
        <f t="shared" si="1"/>
        <v>3.6029000000000018</v>
      </c>
      <c r="K147" s="33">
        <f t="shared" si="2"/>
        <v>2.0061</v>
      </c>
    </row>
    <row r="148" spans="1:11" x14ac:dyDescent="0.2">
      <c r="A148" s="70">
        <v>44631</v>
      </c>
      <c r="B148" s="57">
        <v>2006</v>
      </c>
      <c r="C148" s="57" t="s">
        <v>176</v>
      </c>
      <c r="D148" s="57" t="s">
        <v>177</v>
      </c>
      <c r="E148" s="57" t="s">
        <v>178</v>
      </c>
      <c r="F148" s="57">
        <f t="shared" si="8"/>
        <v>0</v>
      </c>
      <c r="G148" s="57">
        <v>26.3033</v>
      </c>
      <c r="H148" s="57">
        <v>34.769100000000002</v>
      </c>
      <c r="I148" s="57">
        <v>29.558</v>
      </c>
      <c r="J148" s="33">
        <f t="shared" si="1"/>
        <v>8.4658000000000015</v>
      </c>
      <c r="K148" s="33">
        <f t="shared" si="2"/>
        <v>3.2546999999999997</v>
      </c>
    </row>
    <row r="149" spans="1:11" x14ac:dyDescent="0.2">
      <c r="A149" s="70">
        <v>44631</v>
      </c>
      <c r="B149" s="57">
        <v>2021</v>
      </c>
      <c r="C149" s="57" t="s">
        <v>176</v>
      </c>
      <c r="D149" s="57" t="s">
        <v>177</v>
      </c>
      <c r="E149" s="57" t="s">
        <v>175</v>
      </c>
      <c r="F149" s="57">
        <f t="shared" si="8"/>
        <v>0</v>
      </c>
      <c r="G149" s="57">
        <v>25.976099999999999</v>
      </c>
      <c r="H149" s="57">
        <v>27.0595</v>
      </c>
      <c r="I149" s="57">
        <v>26.256900000000002</v>
      </c>
      <c r="J149" s="33">
        <f t="shared" si="1"/>
        <v>1.083400000000001</v>
      </c>
      <c r="K149" s="33">
        <f t="shared" si="2"/>
        <v>0.28080000000000283</v>
      </c>
    </row>
    <row r="150" spans="1:11" x14ac:dyDescent="0.2">
      <c r="A150" s="70">
        <v>44631</v>
      </c>
      <c r="B150" s="57">
        <v>2025</v>
      </c>
      <c r="C150" s="57" t="s">
        <v>176</v>
      </c>
      <c r="D150" s="57" t="s">
        <v>177</v>
      </c>
      <c r="E150" s="57" t="s">
        <v>175</v>
      </c>
      <c r="F150" s="57">
        <f t="shared" si="8"/>
        <v>0</v>
      </c>
      <c r="G150" s="57">
        <v>26.312899999999999</v>
      </c>
      <c r="H150" s="57">
        <v>27.672999999999998</v>
      </c>
      <c r="I150" s="57">
        <v>26.792899999999999</v>
      </c>
      <c r="J150" s="33">
        <f t="shared" si="1"/>
        <v>1.3600999999999992</v>
      </c>
      <c r="K150" s="33">
        <f t="shared" si="2"/>
        <v>0.48000000000000043</v>
      </c>
    </row>
    <row r="151" spans="1:11" x14ac:dyDescent="0.2">
      <c r="A151" s="70">
        <v>44631</v>
      </c>
      <c r="B151" s="57">
        <v>2389</v>
      </c>
      <c r="C151" s="57" t="s">
        <v>176</v>
      </c>
      <c r="D151" s="57" t="s">
        <v>174</v>
      </c>
      <c r="E151" s="57" t="s">
        <v>178</v>
      </c>
      <c r="F151" s="57">
        <f t="shared" si="8"/>
        <v>1</v>
      </c>
      <c r="G151" s="57">
        <v>26.110700000000001</v>
      </c>
      <c r="H151" s="57">
        <v>31.0779</v>
      </c>
      <c r="I151" s="57">
        <v>28.7104</v>
      </c>
      <c r="J151" s="33">
        <f t="shared" si="1"/>
        <v>4.9671999999999983</v>
      </c>
      <c r="K151" s="33">
        <f t="shared" si="2"/>
        <v>2.5996999999999986</v>
      </c>
    </row>
    <row r="152" spans="1:11" x14ac:dyDescent="0.2">
      <c r="A152" s="70">
        <v>44620</v>
      </c>
      <c r="B152" s="57">
        <v>2354</v>
      </c>
      <c r="C152" s="57" t="s">
        <v>176</v>
      </c>
      <c r="D152" s="57" t="s">
        <v>179</v>
      </c>
      <c r="E152" s="57" t="s">
        <v>179</v>
      </c>
      <c r="F152" s="57">
        <f t="shared" si="8"/>
        <v>0</v>
      </c>
      <c r="G152" s="57">
        <v>68.204499999999996</v>
      </c>
      <c r="H152" s="57">
        <v>87.768500000000003</v>
      </c>
      <c r="I152" s="57">
        <v>79.572800000000001</v>
      </c>
      <c r="J152" s="33">
        <f t="shared" si="1"/>
        <v>19.564000000000007</v>
      </c>
      <c r="K152" s="33">
        <f t="shared" si="2"/>
        <v>11.368300000000005</v>
      </c>
    </row>
    <row r="153" spans="1:11" x14ac:dyDescent="0.2">
      <c r="A153" s="70">
        <v>44620</v>
      </c>
      <c r="B153" s="57">
        <v>2354</v>
      </c>
      <c r="C153" s="57" t="s">
        <v>176</v>
      </c>
      <c r="D153" s="57" t="s">
        <v>179</v>
      </c>
      <c r="E153" s="57" t="s">
        <v>179</v>
      </c>
      <c r="F153" s="57">
        <f t="shared" si="8"/>
        <v>0</v>
      </c>
      <c r="G153" s="57">
        <v>67.495699999999999</v>
      </c>
      <c r="H153" s="57">
        <v>78.39</v>
      </c>
      <c r="I153" s="57">
        <v>73.874799999999993</v>
      </c>
      <c r="J153" s="33">
        <f t="shared" si="1"/>
        <v>10.894300000000001</v>
      </c>
      <c r="K153" s="33">
        <f t="shared" si="2"/>
        <v>6.379099999999994</v>
      </c>
    </row>
    <row r="154" spans="1:11" x14ac:dyDescent="0.2">
      <c r="A154" s="70">
        <v>44620</v>
      </c>
      <c r="B154" s="57">
        <v>2381</v>
      </c>
      <c r="C154" s="57" t="s">
        <v>176</v>
      </c>
      <c r="D154" s="57" t="s">
        <v>179</v>
      </c>
      <c r="E154" s="57" t="s">
        <v>179</v>
      </c>
      <c r="F154" s="57">
        <f t="shared" si="8"/>
        <v>0</v>
      </c>
      <c r="G154" s="57">
        <v>68.277000000000001</v>
      </c>
      <c r="H154" s="57">
        <v>77.711200000000005</v>
      </c>
      <c r="I154" s="57">
        <v>73.755200000000002</v>
      </c>
      <c r="J154" s="33">
        <f t="shared" si="1"/>
        <v>9.4342000000000041</v>
      </c>
      <c r="K154" s="33">
        <f t="shared" si="2"/>
        <v>5.4782000000000011</v>
      </c>
    </row>
    <row r="155" spans="1:11" x14ac:dyDescent="0.2">
      <c r="A155" s="70">
        <v>44628</v>
      </c>
      <c r="B155" s="57">
        <v>2381</v>
      </c>
      <c r="C155" s="57" t="s">
        <v>173</v>
      </c>
      <c r="D155" s="57" t="s">
        <v>174</v>
      </c>
      <c r="E155" s="57" t="s">
        <v>178</v>
      </c>
      <c r="F155" s="57">
        <f t="shared" si="8"/>
        <v>1</v>
      </c>
      <c r="G155" s="57">
        <v>26.2971</v>
      </c>
      <c r="H155" s="57">
        <v>26.822500000000002</v>
      </c>
      <c r="I155" s="57">
        <v>26.4057</v>
      </c>
      <c r="J155" s="33">
        <f t="shared" si="1"/>
        <v>0.5254000000000012</v>
      </c>
      <c r="K155" s="33">
        <f t="shared" si="2"/>
        <v>0.10859999999999914</v>
      </c>
    </row>
    <row r="156" spans="1:11" x14ac:dyDescent="0.2">
      <c r="A156" s="70">
        <v>44620</v>
      </c>
      <c r="B156" s="57">
        <v>2301</v>
      </c>
      <c r="C156" s="57" t="s">
        <v>176</v>
      </c>
      <c r="D156" s="57" t="s">
        <v>179</v>
      </c>
      <c r="E156" s="57" t="s">
        <v>179</v>
      </c>
      <c r="F156" s="57">
        <f t="shared" si="8"/>
        <v>0</v>
      </c>
      <c r="G156" s="57">
        <v>67.252899999999997</v>
      </c>
      <c r="H156" s="57">
        <v>74.366200000000006</v>
      </c>
      <c r="I156" s="57">
        <v>70.996700000000004</v>
      </c>
      <c r="J156" s="33">
        <f t="shared" si="1"/>
        <v>7.1133000000000095</v>
      </c>
      <c r="K156" s="33">
        <f t="shared" si="2"/>
        <v>3.7438000000000073</v>
      </c>
    </row>
    <row r="157" spans="1:11" x14ac:dyDescent="0.2">
      <c r="A157" s="70">
        <v>44628</v>
      </c>
      <c r="B157" s="57">
        <v>2331</v>
      </c>
      <c r="C157" s="57" t="s">
        <v>173</v>
      </c>
      <c r="D157" s="57" t="s">
        <v>174</v>
      </c>
      <c r="E157" s="57" t="s">
        <v>178</v>
      </c>
      <c r="F157" s="57">
        <f t="shared" si="8"/>
        <v>1</v>
      </c>
      <c r="G157" s="57">
        <v>67.512500000000003</v>
      </c>
      <c r="H157" s="57">
        <v>74.845299999999995</v>
      </c>
      <c r="I157" s="57">
        <v>71.763800000000003</v>
      </c>
      <c r="J157" s="33">
        <f t="shared" si="1"/>
        <v>7.3327999999999918</v>
      </c>
      <c r="K157" s="33">
        <f t="shared" si="2"/>
        <v>4.2513000000000005</v>
      </c>
    </row>
    <row r="158" spans="1:11" x14ac:dyDescent="0.2">
      <c r="A158" s="70">
        <v>44628</v>
      </c>
      <c r="B158" s="57">
        <v>2301</v>
      </c>
      <c r="C158" s="57" t="s">
        <v>173</v>
      </c>
      <c r="D158" s="57" t="s">
        <v>174</v>
      </c>
      <c r="E158" s="57" t="s">
        <v>178</v>
      </c>
      <c r="F158" s="57">
        <f t="shared" si="8"/>
        <v>1</v>
      </c>
      <c r="G158" s="57">
        <v>68.0227</v>
      </c>
      <c r="H158" s="57">
        <v>80.497399999999999</v>
      </c>
      <c r="I158" s="57">
        <v>74.966800000000006</v>
      </c>
      <c r="J158" s="33">
        <f t="shared" si="1"/>
        <v>12.474699999999999</v>
      </c>
      <c r="K158" s="33">
        <f t="shared" si="2"/>
        <v>6.9441000000000059</v>
      </c>
    </row>
    <row r="159" spans="1:11" x14ac:dyDescent="0.2">
      <c r="A159" s="70">
        <v>44628</v>
      </c>
      <c r="B159" s="57">
        <v>2301</v>
      </c>
      <c r="C159" s="57" t="s">
        <v>173</v>
      </c>
      <c r="D159" s="57" t="s">
        <v>174</v>
      </c>
      <c r="E159" s="57" t="s">
        <v>175</v>
      </c>
      <c r="F159" s="57">
        <f t="shared" si="8"/>
        <v>1</v>
      </c>
      <c r="G159" s="57">
        <v>67.011200000000002</v>
      </c>
      <c r="H159" s="57">
        <v>68.719399999999993</v>
      </c>
      <c r="I159" s="57">
        <v>67.774600000000007</v>
      </c>
      <c r="J159" s="33">
        <f t="shared" si="1"/>
        <v>1.7081999999999908</v>
      </c>
      <c r="K159" s="33">
        <f t="shared" si="2"/>
        <v>0.7634000000000043</v>
      </c>
    </row>
    <row r="160" spans="1:11" x14ac:dyDescent="0.2">
      <c r="A160" s="70">
        <v>44620</v>
      </c>
      <c r="B160" s="57">
        <v>3477</v>
      </c>
      <c r="C160" s="57" t="s">
        <v>176</v>
      </c>
      <c r="D160" s="57" t="s">
        <v>179</v>
      </c>
      <c r="E160" s="57" t="s">
        <v>179</v>
      </c>
      <c r="F160" s="57">
        <f t="shared" si="8"/>
        <v>0</v>
      </c>
      <c r="G160" s="57">
        <v>68.379199999999997</v>
      </c>
      <c r="H160" s="57">
        <v>82.771699999999996</v>
      </c>
      <c r="I160" s="57">
        <v>76.084900000000005</v>
      </c>
      <c r="J160" s="33">
        <f t="shared" si="1"/>
        <v>14.392499999999998</v>
      </c>
      <c r="K160" s="33">
        <f t="shared" si="2"/>
        <v>7.7057000000000073</v>
      </c>
    </row>
    <row r="161" spans="1:11" x14ac:dyDescent="0.2">
      <c r="A161" s="70">
        <v>44631</v>
      </c>
      <c r="B161" s="57">
        <v>2004</v>
      </c>
      <c r="C161" s="57" t="s">
        <v>176</v>
      </c>
      <c r="D161" s="57" t="s">
        <v>174</v>
      </c>
      <c r="E161" s="57" t="s">
        <v>175</v>
      </c>
      <c r="F161" s="57">
        <f t="shared" si="8"/>
        <v>1</v>
      </c>
      <c r="G161" s="57">
        <v>25.811699999999998</v>
      </c>
      <c r="H161" s="57">
        <v>26.4</v>
      </c>
      <c r="I161" s="57">
        <v>25.894100000000002</v>
      </c>
      <c r="J161" s="33">
        <f t="shared" si="1"/>
        <v>0.58830000000000027</v>
      </c>
      <c r="K161" s="33">
        <f t="shared" si="2"/>
        <v>8.2400000000003359E-2</v>
      </c>
    </row>
    <row r="162" spans="1:11" x14ac:dyDescent="0.2">
      <c r="A162" s="70">
        <v>44620</v>
      </c>
      <c r="B162" s="57">
        <v>2301</v>
      </c>
      <c r="C162" s="57" t="s">
        <v>176</v>
      </c>
      <c r="D162" s="57" t="s">
        <v>179</v>
      </c>
      <c r="E162" s="57" t="s">
        <v>179</v>
      </c>
      <c r="F162" s="57">
        <f t="shared" si="8"/>
        <v>0</v>
      </c>
      <c r="G162" s="57">
        <v>67.184700000000007</v>
      </c>
      <c r="H162" s="57">
        <v>80.200599999999994</v>
      </c>
      <c r="I162" s="57">
        <v>74.376300000000001</v>
      </c>
      <c r="J162" s="33">
        <f t="shared" si="1"/>
        <v>13.015899999999988</v>
      </c>
      <c r="K162" s="33">
        <f t="shared" si="2"/>
        <v>7.191599999999994</v>
      </c>
    </row>
    <row r="163" spans="1:11" x14ac:dyDescent="0.2">
      <c r="A163" s="70">
        <v>44620</v>
      </c>
      <c r="B163" s="57">
        <v>2331</v>
      </c>
      <c r="C163" s="57" t="s">
        <v>176</v>
      </c>
      <c r="D163" s="57" t="s">
        <v>179</v>
      </c>
      <c r="E163" s="57" t="s">
        <v>179</v>
      </c>
      <c r="F163" s="57">
        <f t="shared" si="8"/>
        <v>0</v>
      </c>
      <c r="G163" s="57">
        <v>68.023899999999998</v>
      </c>
      <c r="H163" s="57">
        <v>88.429400000000001</v>
      </c>
      <c r="I163" s="57">
        <v>79.923699999999997</v>
      </c>
      <c r="J163" s="33">
        <f t="shared" si="1"/>
        <v>20.405500000000004</v>
      </c>
      <c r="K163" s="33">
        <f t="shared" si="2"/>
        <v>11.899799999999999</v>
      </c>
    </row>
    <row r="164" spans="1:11" x14ac:dyDescent="0.2">
      <c r="A164" s="70">
        <v>44631</v>
      </c>
      <c r="B164" s="57">
        <v>2004</v>
      </c>
      <c r="C164" s="57" t="s">
        <v>176</v>
      </c>
      <c r="D164" s="57" t="s">
        <v>177</v>
      </c>
      <c r="E164" s="57" t="s">
        <v>175</v>
      </c>
      <c r="F164" s="57">
        <f t="shared" si="8"/>
        <v>0</v>
      </c>
      <c r="G164" s="57">
        <v>15.447100000000001</v>
      </c>
      <c r="H164" s="57">
        <v>16.625399999999999</v>
      </c>
      <c r="I164" s="57">
        <v>15.9725</v>
      </c>
      <c r="J164" s="33">
        <f t="shared" si="1"/>
        <v>1.1782999999999983</v>
      </c>
      <c r="K164" s="33">
        <f t="shared" si="2"/>
        <v>0.52539999999999942</v>
      </c>
    </row>
    <row r="165" spans="1:11" x14ac:dyDescent="0.2">
      <c r="A165" s="70">
        <v>44620</v>
      </c>
      <c r="B165" s="57">
        <v>3480</v>
      </c>
      <c r="C165" s="57" t="s">
        <v>176</v>
      </c>
      <c r="D165" s="57" t="s">
        <v>179</v>
      </c>
      <c r="E165" s="57" t="s">
        <v>179</v>
      </c>
      <c r="F165" s="57">
        <f t="shared" si="8"/>
        <v>0</v>
      </c>
      <c r="G165" s="57">
        <v>68.407399999999996</v>
      </c>
      <c r="H165" s="57">
        <v>84.450400000000002</v>
      </c>
      <c r="I165" s="57">
        <v>78.542000000000002</v>
      </c>
      <c r="J165" s="33">
        <f t="shared" si="1"/>
        <v>16.043000000000006</v>
      </c>
      <c r="K165" s="33">
        <f t="shared" si="2"/>
        <v>10.134600000000006</v>
      </c>
    </row>
    <row r="166" spans="1:11" x14ac:dyDescent="0.2">
      <c r="A166" s="70">
        <v>44620</v>
      </c>
      <c r="B166" s="57">
        <v>2376</v>
      </c>
      <c r="C166" s="57" t="s">
        <v>176</v>
      </c>
      <c r="D166" s="57" t="s">
        <v>179</v>
      </c>
      <c r="E166" s="57" t="s">
        <v>179</v>
      </c>
      <c r="F166" s="57">
        <f t="shared" si="8"/>
        <v>0</v>
      </c>
      <c r="G166" s="57">
        <v>68.001400000000004</v>
      </c>
      <c r="H166" s="57">
        <v>89.543899999999994</v>
      </c>
      <c r="I166" s="57">
        <v>80.140900000000002</v>
      </c>
      <c r="J166" s="33">
        <f t="shared" si="1"/>
        <v>21.54249999999999</v>
      </c>
      <c r="K166" s="33">
        <f t="shared" si="2"/>
        <v>12.139499999999998</v>
      </c>
    </row>
    <row r="167" spans="1:11" x14ac:dyDescent="0.2">
      <c r="A167" s="70">
        <v>44631</v>
      </c>
      <c r="B167" s="57">
        <v>2021</v>
      </c>
      <c r="C167" s="57" t="s">
        <v>176</v>
      </c>
      <c r="D167" s="57" t="s">
        <v>177</v>
      </c>
      <c r="E167" s="57" t="s">
        <v>178</v>
      </c>
      <c r="F167" s="57">
        <f t="shared" si="8"/>
        <v>0</v>
      </c>
      <c r="G167" s="57">
        <v>26.2394</v>
      </c>
      <c r="H167" s="57">
        <v>38.049799999999998</v>
      </c>
      <c r="I167" s="57">
        <v>31.555399999999999</v>
      </c>
      <c r="J167" s="33">
        <f t="shared" si="1"/>
        <v>11.810399999999998</v>
      </c>
      <c r="K167" s="33">
        <f t="shared" si="2"/>
        <v>5.3159999999999989</v>
      </c>
    </row>
    <row r="168" spans="1:11" x14ac:dyDescent="0.2">
      <c r="A168" s="70">
        <v>44620</v>
      </c>
      <c r="B168" s="57">
        <v>2352</v>
      </c>
      <c r="C168" s="57" t="s">
        <v>176</v>
      </c>
      <c r="D168" s="57" t="s">
        <v>179</v>
      </c>
      <c r="E168" s="57" t="s">
        <v>179</v>
      </c>
      <c r="F168" s="57">
        <f t="shared" si="8"/>
        <v>0</v>
      </c>
      <c r="G168" s="57">
        <v>68.407799999999995</v>
      </c>
      <c r="H168" s="57">
        <v>82.620599999999996</v>
      </c>
      <c r="I168" s="57">
        <v>76.699100000000001</v>
      </c>
      <c r="J168" s="33">
        <f t="shared" si="1"/>
        <v>14.212800000000001</v>
      </c>
      <c r="K168" s="33">
        <f t="shared" si="2"/>
        <v>8.2913000000000068</v>
      </c>
    </row>
    <row r="169" spans="1:11" x14ac:dyDescent="0.2">
      <c r="A169" s="70">
        <v>44631</v>
      </c>
      <c r="B169" s="57">
        <v>2004</v>
      </c>
      <c r="C169" s="57" t="s">
        <v>176</v>
      </c>
      <c r="D169" s="57" t="s">
        <v>177</v>
      </c>
      <c r="E169" s="57" t="s">
        <v>175</v>
      </c>
      <c r="F169" s="57">
        <f t="shared" si="8"/>
        <v>0</v>
      </c>
      <c r="G169" s="57">
        <v>26.410499999999999</v>
      </c>
      <c r="H169" s="57">
        <v>27.699000000000002</v>
      </c>
      <c r="I169" s="57">
        <v>26.808800000000002</v>
      </c>
      <c r="J169" s="33">
        <f t="shared" si="1"/>
        <v>1.2885000000000026</v>
      </c>
      <c r="K169" s="33">
        <f t="shared" si="2"/>
        <v>0.39830000000000254</v>
      </c>
    </row>
    <row r="170" spans="1:11" x14ac:dyDescent="0.2">
      <c r="A170" s="70">
        <v>44620</v>
      </c>
      <c r="B170" s="57">
        <v>2331</v>
      </c>
      <c r="C170" s="57" t="s">
        <v>173</v>
      </c>
      <c r="D170" s="57" t="s">
        <v>174</v>
      </c>
      <c r="E170" s="57" t="s">
        <v>175</v>
      </c>
      <c r="F170" s="57">
        <f t="shared" si="8"/>
        <v>1</v>
      </c>
      <c r="G170" s="57">
        <v>67.440799999999996</v>
      </c>
      <c r="H170" s="57">
        <v>68.682900000000004</v>
      </c>
      <c r="I170" s="57">
        <v>68.110200000000006</v>
      </c>
      <c r="J170" s="33">
        <f t="shared" si="1"/>
        <v>1.2421000000000078</v>
      </c>
      <c r="K170" s="33">
        <f t="shared" si="2"/>
        <v>0.66940000000001021</v>
      </c>
    </row>
    <row r="171" spans="1:11" x14ac:dyDescent="0.2">
      <c r="A171" s="70">
        <v>44631</v>
      </c>
      <c r="B171" s="57">
        <v>2354</v>
      </c>
      <c r="C171" s="57" t="s">
        <v>173</v>
      </c>
      <c r="D171" s="57" t="s">
        <v>174</v>
      </c>
      <c r="E171" s="57" t="s">
        <v>178</v>
      </c>
      <c r="F171" s="57">
        <f t="shared" si="8"/>
        <v>1</v>
      </c>
      <c r="G171" s="57">
        <v>25.67</v>
      </c>
      <c r="H171" s="57">
        <v>31.434100000000001</v>
      </c>
      <c r="I171" s="57">
        <v>28.816800000000001</v>
      </c>
      <c r="J171" s="33">
        <f t="shared" si="1"/>
        <v>5.7640999999999991</v>
      </c>
      <c r="K171" s="33">
        <f t="shared" si="2"/>
        <v>3.1467999999999989</v>
      </c>
    </row>
    <row r="172" spans="1:11" x14ac:dyDescent="0.2">
      <c r="A172" s="70">
        <v>44631</v>
      </c>
      <c r="B172" s="57">
        <v>2027</v>
      </c>
      <c r="C172" s="57" t="s">
        <v>176</v>
      </c>
      <c r="D172" s="57" t="s">
        <v>177</v>
      </c>
      <c r="E172" s="57" t="s">
        <v>178</v>
      </c>
      <c r="F172" s="57">
        <f t="shared" si="8"/>
        <v>0</v>
      </c>
      <c r="G172" s="57">
        <v>26.104500000000002</v>
      </c>
      <c r="H172" s="57">
        <v>37.138800000000003</v>
      </c>
      <c r="I172" s="57">
        <v>31.811199999999999</v>
      </c>
      <c r="J172" s="33">
        <f t="shared" si="1"/>
        <v>11.034300000000002</v>
      </c>
      <c r="K172" s="33">
        <f t="shared" si="2"/>
        <v>5.7066999999999979</v>
      </c>
    </row>
    <row r="173" spans="1:11" x14ac:dyDescent="0.2">
      <c r="A173" s="70">
        <v>44631</v>
      </c>
      <c r="B173" s="57">
        <v>2378</v>
      </c>
      <c r="C173" s="57" t="s">
        <v>173</v>
      </c>
      <c r="D173" s="57" t="s">
        <v>177</v>
      </c>
      <c r="E173" s="57" t="s">
        <v>178</v>
      </c>
      <c r="F173" s="57">
        <f t="shared" si="8"/>
        <v>0</v>
      </c>
      <c r="G173" s="57">
        <v>26.817699999999999</v>
      </c>
      <c r="H173" s="57">
        <v>32.414900000000003</v>
      </c>
      <c r="I173" s="57">
        <v>29.0657</v>
      </c>
      <c r="J173" s="33">
        <f t="shared" si="1"/>
        <v>5.5972000000000044</v>
      </c>
      <c r="K173" s="33">
        <f t="shared" si="2"/>
        <v>2.2480000000000011</v>
      </c>
    </row>
    <row r="174" spans="1:11" x14ac:dyDescent="0.2">
      <c r="A174" s="70">
        <v>44628</v>
      </c>
      <c r="B174" s="57">
        <v>2377</v>
      </c>
      <c r="C174" s="57" t="s">
        <v>173</v>
      </c>
      <c r="D174" s="57" t="s">
        <v>174</v>
      </c>
      <c r="E174" s="57" t="s">
        <v>178</v>
      </c>
      <c r="F174" s="57">
        <f t="shared" si="8"/>
        <v>1</v>
      </c>
      <c r="G174" s="57">
        <v>25.744399999999999</v>
      </c>
      <c r="H174" s="57">
        <v>32.305100000000003</v>
      </c>
      <c r="I174" s="57">
        <v>29.371400000000001</v>
      </c>
      <c r="J174" s="33">
        <f t="shared" si="1"/>
        <v>6.5607000000000042</v>
      </c>
      <c r="K174" s="33">
        <f t="shared" si="2"/>
        <v>3.6270000000000024</v>
      </c>
    </row>
    <row r="175" spans="1:11" x14ac:dyDescent="0.2">
      <c r="A175" s="70">
        <v>44620</v>
      </c>
      <c r="B175" s="57">
        <v>2345</v>
      </c>
      <c r="C175" s="57" t="s">
        <v>176</v>
      </c>
      <c r="D175" s="57" t="s">
        <v>179</v>
      </c>
      <c r="E175" s="57" t="s">
        <v>179</v>
      </c>
      <c r="F175" s="57">
        <f t="shared" si="8"/>
        <v>0</v>
      </c>
      <c r="G175" s="57">
        <v>67.881600000000006</v>
      </c>
      <c r="H175" s="57">
        <v>80.424599999999998</v>
      </c>
      <c r="I175" s="57">
        <v>75.083699999999993</v>
      </c>
      <c r="J175" s="33">
        <f t="shared" si="1"/>
        <v>12.542999999999992</v>
      </c>
      <c r="K175" s="33">
        <f t="shared" si="2"/>
        <v>7.2020999999999873</v>
      </c>
    </row>
    <row r="176" spans="1:11" x14ac:dyDescent="0.2">
      <c r="A176" s="70">
        <v>44631</v>
      </c>
      <c r="B176" s="57">
        <v>2007</v>
      </c>
      <c r="C176" s="57" t="s">
        <v>176</v>
      </c>
      <c r="D176" s="57" t="s">
        <v>177</v>
      </c>
      <c r="E176" s="57" t="s">
        <v>175</v>
      </c>
      <c r="F176" s="57">
        <f t="shared" si="8"/>
        <v>0</v>
      </c>
      <c r="G176" s="57">
        <v>15.1858</v>
      </c>
      <c r="H176" s="57">
        <v>16.196400000000001</v>
      </c>
      <c r="I176" s="57">
        <v>15.5312</v>
      </c>
      <c r="J176" s="33">
        <f t="shared" si="1"/>
        <v>1.0106000000000002</v>
      </c>
      <c r="K176" s="33">
        <f t="shared" si="2"/>
        <v>0.34539999999999971</v>
      </c>
    </row>
    <row r="177" spans="1:11" x14ac:dyDescent="0.2">
      <c r="A177" s="70">
        <v>44628</v>
      </c>
      <c r="B177" s="57">
        <v>2331</v>
      </c>
      <c r="C177" s="57" t="s">
        <v>173</v>
      </c>
      <c r="D177" s="57" t="s">
        <v>177</v>
      </c>
      <c r="E177" s="57" t="s">
        <v>175</v>
      </c>
      <c r="F177" s="57">
        <f t="shared" si="8"/>
        <v>0</v>
      </c>
      <c r="G177" s="57">
        <v>68.823599999999999</v>
      </c>
      <c r="H177" s="57">
        <v>68.877200000000002</v>
      </c>
      <c r="I177" s="57">
        <v>69.000799999999998</v>
      </c>
      <c r="J177" s="33">
        <f t="shared" si="1"/>
        <v>5.3600000000002979E-2</v>
      </c>
      <c r="K177" s="33">
        <f t="shared" si="2"/>
        <v>0.17719999999999914</v>
      </c>
    </row>
    <row r="178" spans="1:11" x14ac:dyDescent="0.2">
      <c r="A178" s="70">
        <v>44620</v>
      </c>
      <c r="B178" s="57">
        <v>2366</v>
      </c>
      <c r="C178" s="57" t="s">
        <v>176</v>
      </c>
      <c r="D178" s="57" t="s">
        <v>179</v>
      </c>
      <c r="E178" s="57" t="s">
        <v>179</v>
      </c>
      <c r="F178" s="57">
        <f t="shared" si="8"/>
        <v>0</v>
      </c>
      <c r="G178" s="57">
        <v>67.802099999999996</v>
      </c>
      <c r="H178" s="57">
        <v>79.814999999999998</v>
      </c>
      <c r="I178" s="57">
        <v>74.725499999999997</v>
      </c>
      <c r="J178" s="33">
        <f t="shared" si="1"/>
        <v>12.012900000000002</v>
      </c>
      <c r="K178" s="33">
        <f t="shared" si="2"/>
        <v>6.9234000000000009</v>
      </c>
    </row>
    <row r="179" spans="1:11" x14ac:dyDescent="0.2">
      <c r="A179" s="70">
        <v>44620</v>
      </c>
      <c r="B179" s="57">
        <v>2377</v>
      </c>
      <c r="C179" s="57" t="s">
        <v>176</v>
      </c>
      <c r="D179" s="57" t="s">
        <v>179</v>
      </c>
      <c r="E179" s="57" t="s">
        <v>179</v>
      </c>
      <c r="F179" s="57">
        <f t="shared" si="8"/>
        <v>0</v>
      </c>
      <c r="G179" s="57">
        <v>67.897999999999996</v>
      </c>
      <c r="H179" s="57">
        <v>80.745599999999996</v>
      </c>
      <c r="I179" s="57">
        <v>75.379300000000001</v>
      </c>
      <c r="J179" s="33">
        <f t="shared" si="1"/>
        <v>12.8476</v>
      </c>
      <c r="K179" s="33">
        <f t="shared" si="2"/>
        <v>7.4813000000000045</v>
      </c>
    </row>
    <row r="180" spans="1:11" x14ac:dyDescent="0.2">
      <c r="A180" s="70">
        <v>44620</v>
      </c>
      <c r="B180" s="57">
        <v>2322</v>
      </c>
      <c r="C180" s="57" t="s">
        <v>176</v>
      </c>
      <c r="D180" s="57" t="s">
        <v>179</v>
      </c>
      <c r="E180" s="57" t="s">
        <v>179</v>
      </c>
      <c r="F180" s="57">
        <f t="shared" si="8"/>
        <v>0</v>
      </c>
      <c r="G180" s="57">
        <v>67.140900000000002</v>
      </c>
      <c r="H180" s="57">
        <v>79.934700000000007</v>
      </c>
      <c r="I180" s="57">
        <v>68.835300000000004</v>
      </c>
      <c r="J180" s="33">
        <f t="shared" si="1"/>
        <v>12.793800000000005</v>
      </c>
      <c r="K180" s="33">
        <f t="shared" si="2"/>
        <v>1.6944000000000017</v>
      </c>
    </row>
    <row r="181" spans="1:11" x14ac:dyDescent="0.2">
      <c r="A181" s="70">
        <v>44628</v>
      </c>
      <c r="B181" s="57">
        <v>2331</v>
      </c>
      <c r="C181" s="57" t="s">
        <v>176</v>
      </c>
      <c r="D181" s="57" t="s">
        <v>177</v>
      </c>
      <c r="E181" s="57" t="s">
        <v>178</v>
      </c>
      <c r="F181" s="57">
        <f t="shared" si="8"/>
        <v>0</v>
      </c>
      <c r="G181" s="57">
        <v>67.990300000000005</v>
      </c>
      <c r="H181" s="57">
        <v>70.850399999999993</v>
      </c>
      <c r="I181" s="57">
        <v>68.834999999999994</v>
      </c>
      <c r="J181" s="33">
        <f t="shared" si="1"/>
        <v>2.8600999999999885</v>
      </c>
      <c r="K181" s="33">
        <f t="shared" si="2"/>
        <v>0.8446999999999889</v>
      </c>
    </row>
    <row r="182" spans="1:11" x14ac:dyDescent="0.2">
      <c r="A182" s="70">
        <v>44620</v>
      </c>
      <c r="B182" s="57">
        <v>2345</v>
      </c>
      <c r="C182" s="57" t="s">
        <v>176</v>
      </c>
      <c r="D182" s="57" t="s">
        <v>179</v>
      </c>
      <c r="E182" s="57" t="s">
        <v>179</v>
      </c>
      <c r="F182" s="57">
        <f t="shared" si="8"/>
        <v>0</v>
      </c>
      <c r="G182" s="57">
        <v>67.925799999999995</v>
      </c>
      <c r="H182" s="57">
        <v>76.539199999999994</v>
      </c>
      <c r="I182" s="57">
        <v>72.582999999999998</v>
      </c>
      <c r="J182" s="33">
        <f t="shared" si="1"/>
        <v>8.6133999999999986</v>
      </c>
      <c r="K182" s="33">
        <f t="shared" si="2"/>
        <v>4.6572000000000031</v>
      </c>
    </row>
    <row r="183" spans="1:11" x14ac:dyDescent="0.2">
      <c r="A183" s="70">
        <v>44631</v>
      </c>
      <c r="B183" s="57">
        <v>2006</v>
      </c>
      <c r="C183" s="57" t="s">
        <v>173</v>
      </c>
      <c r="D183" s="57" t="s">
        <v>177</v>
      </c>
      <c r="E183" s="57" t="s">
        <v>175</v>
      </c>
      <c r="F183" s="57">
        <f t="shared" si="8"/>
        <v>0</v>
      </c>
      <c r="G183" s="57">
        <v>26.852699999999999</v>
      </c>
      <c r="H183" s="57">
        <v>33.307000000000002</v>
      </c>
      <c r="I183" s="57">
        <v>28.8581</v>
      </c>
      <c r="J183" s="33">
        <f t="shared" si="1"/>
        <v>6.4543000000000035</v>
      </c>
      <c r="K183" s="33">
        <f t="shared" si="2"/>
        <v>2.0054000000000016</v>
      </c>
    </row>
    <row r="184" spans="1:11" x14ac:dyDescent="0.2">
      <c r="A184" s="70">
        <v>44631</v>
      </c>
      <c r="B184" s="57">
        <v>2024</v>
      </c>
      <c r="C184" s="57" t="s">
        <v>176</v>
      </c>
      <c r="D184" s="57" t="s">
        <v>177</v>
      </c>
      <c r="E184" s="57" t="s">
        <v>175</v>
      </c>
      <c r="F184" s="57">
        <f t="shared" si="8"/>
        <v>0</v>
      </c>
      <c r="G184" s="57">
        <v>15.858499999999999</v>
      </c>
      <c r="H184" s="57">
        <v>16.792200000000001</v>
      </c>
      <c r="I184" s="57">
        <v>16.1633</v>
      </c>
      <c r="J184" s="33">
        <f t="shared" si="1"/>
        <v>0.93370000000000175</v>
      </c>
      <c r="K184" s="33">
        <f t="shared" si="2"/>
        <v>0.30480000000000018</v>
      </c>
    </row>
    <row r="185" spans="1:11" x14ac:dyDescent="0.2">
      <c r="A185" s="70">
        <v>44631</v>
      </c>
      <c r="B185" s="57">
        <v>2093</v>
      </c>
      <c r="C185" s="57" t="s">
        <v>176</v>
      </c>
      <c r="D185" s="57" t="s">
        <v>174</v>
      </c>
      <c r="E185" s="57" t="s">
        <v>178</v>
      </c>
      <c r="F185" s="57">
        <f t="shared" si="8"/>
        <v>1</v>
      </c>
      <c r="G185" s="57">
        <v>26.164200000000001</v>
      </c>
      <c r="H185" s="57">
        <v>32.594299999999997</v>
      </c>
      <c r="I185" s="57">
        <v>30.204599999999999</v>
      </c>
      <c r="J185" s="33">
        <f t="shared" si="1"/>
        <v>6.4300999999999959</v>
      </c>
      <c r="K185" s="33">
        <f t="shared" si="2"/>
        <v>4.0403999999999982</v>
      </c>
    </row>
    <row r="186" spans="1:11" x14ac:dyDescent="0.2">
      <c r="A186" s="70">
        <v>44655</v>
      </c>
      <c r="B186" s="57">
        <v>2006</v>
      </c>
      <c r="C186" s="57" t="s">
        <v>173</v>
      </c>
      <c r="D186" s="57" t="s">
        <v>177</v>
      </c>
      <c r="E186" s="57" t="s">
        <v>178</v>
      </c>
      <c r="F186" s="57">
        <f t="shared" si="8"/>
        <v>0</v>
      </c>
      <c r="G186" s="57">
        <v>26.456700000000001</v>
      </c>
      <c r="H186" s="57">
        <v>35.678899999999999</v>
      </c>
      <c r="I186" s="57">
        <v>30.927299999999999</v>
      </c>
      <c r="J186" s="33">
        <f t="shared" si="1"/>
        <v>9.2221999999999973</v>
      </c>
      <c r="K186" s="33">
        <f t="shared" si="2"/>
        <v>4.4705999999999975</v>
      </c>
    </row>
    <row r="187" spans="1:11" x14ac:dyDescent="0.2">
      <c r="A187" s="70">
        <v>44655</v>
      </c>
      <c r="B187" s="57">
        <v>2022</v>
      </c>
      <c r="C187" s="57" t="s">
        <v>173</v>
      </c>
      <c r="D187" s="57" t="s">
        <v>177</v>
      </c>
      <c r="E187" s="57" t="s">
        <v>175</v>
      </c>
      <c r="F187" s="57">
        <f t="shared" si="8"/>
        <v>0</v>
      </c>
      <c r="G187" s="57">
        <v>26.422599999999999</v>
      </c>
      <c r="H187" s="57">
        <v>27.165400000000002</v>
      </c>
      <c r="I187" s="57">
        <v>26.5596</v>
      </c>
      <c r="J187" s="33">
        <f t="shared" si="1"/>
        <v>0.74280000000000257</v>
      </c>
      <c r="K187" s="33">
        <f t="shared" si="2"/>
        <v>0.13700000000000045</v>
      </c>
    </row>
    <row r="188" spans="1:11" x14ac:dyDescent="0.2">
      <c r="A188" s="70">
        <v>44650</v>
      </c>
      <c r="B188" s="57">
        <v>2301</v>
      </c>
      <c r="C188" s="57" t="s">
        <v>173</v>
      </c>
      <c r="D188" s="57" t="s">
        <v>174</v>
      </c>
      <c r="E188" s="57" t="s">
        <v>178</v>
      </c>
      <c r="F188" s="57">
        <f t="shared" si="8"/>
        <v>1</v>
      </c>
      <c r="G188" s="57">
        <v>26.180700000000002</v>
      </c>
      <c r="H188" s="57">
        <v>32.3827</v>
      </c>
      <c r="I188" s="57">
        <v>29.665800000000001</v>
      </c>
      <c r="J188" s="33">
        <f t="shared" si="1"/>
        <v>6.2019999999999982</v>
      </c>
      <c r="K188" s="33">
        <f t="shared" si="2"/>
        <v>3.4850999999999992</v>
      </c>
    </row>
    <row r="189" spans="1:11" x14ac:dyDescent="0.2">
      <c r="A189" s="70">
        <v>44655</v>
      </c>
      <c r="B189" s="57">
        <v>2023</v>
      </c>
      <c r="C189" s="57" t="s">
        <v>173</v>
      </c>
      <c r="D189" s="57" t="s">
        <v>174</v>
      </c>
      <c r="E189" s="57" t="s">
        <v>178</v>
      </c>
      <c r="F189" s="57">
        <f t="shared" si="8"/>
        <v>1</v>
      </c>
      <c r="G189" s="57">
        <v>26.323699999999999</v>
      </c>
      <c r="H189" s="57">
        <v>37.113700000000001</v>
      </c>
      <c r="I189" s="57">
        <v>32.143599999999999</v>
      </c>
      <c r="J189" s="33">
        <f t="shared" si="1"/>
        <v>10.790000000000003</v>
      </c>
      <c r="K189" s="33">
        <f t="shared" si="2"/>
        <v>5.8199000000000005</v>
      </c>
    </row>
    <row r="190" spans="1:11" x14ac:dyDescent="0.2">
      <c r="A190" s="70">
        <v>44650</v>
      </c>
      <c r="B190" s="57">
        <v>2372</v>
      </c>
      <c r="C190" s="57" t="s">
        <v>173</v>
      </c>
      <c r="D190" s="57" t="s">
        <v>177</v>
      </c>
      <c r="E190" s="57" t="s">
        <v>178</v>
      </c>
      <c r="F190" s="57">
        <f t="shared" si="8"/>
        <v>0</v>
      </c>
      <c r="G190" s="57">
        <v>26.686399999999999</v>
      </c>
      <c r="H190" s="57">
        <v>34.879300000000001</v>
      </c>
      <c r="I190" s="57">
        <v>29.7515</v>
      </c>
      <c r="J190" s="33">
        <f t="shared" si="1"/>
        <v>8.1929000000000016</v>
      </c>
      <c r="K190" s="33">
        <f t="shared" si="2"/>
        <v>3.065100000000001</v>
      </c>
    </row>
    <row r="191" spans="1:11" x14ac:dyDescent="0.2">
      <c r="A191" s="70">
        <v>44650</v>
      </c>
      <c r="B191" s="57">
        <v>2370</v>
      </c>
      <c r="C191" s="57" t="s">
        <v>173</v>
      </c>
      <c r="D191" s="57" t="s">
        <v>177</v>
      </c>
      <c r="E191" s="57" t="s">
        <v>175</v>
      </c>
      <c r="F191" s="57">
        <f t="shared" si="8"/>
        <v>0</v>
      </c>
      <c r="G191" s="57">
        <v>24.408100000000001</v>
      </c>
      <c r="H191" s="57">
        <v>25.644200000000001</v>
      </c>
      <c r="I191" s="57">
        <v>25.500499999999999</v>
      </c>
      <c r="J191" s="33">
        <f t="shared" si="1"/>
        <v>1.2361000000000004</v>
      </c>
      <c r="K191" s="33">
        <f t="shared" si="2"/>
        <v>1.0923999999999978</v>
      </c>
    </row>
    <row r="192" spans="1:11" x14ac:dyDescent="0.2">
      <c r="A192" s="70">
        <v>44650</v>
      </c>
      <c r="B192" s="57">
        <v>2382</v>
      </c>
      <c r="C192" s="57" t="s">
        <v>173</v>
      </c>
      <c r="D192" s="57" t="s">
        <v>177</v>
      </c>
      <c r="E192" s="57" t="s">
        <v>175</v>
      </c>
      <c r="F192" s="57">
        <f t="shared" si="8"/>
        <v>0</v>
      </c>
      <c r="G192" s="57">
        <v>25.9085</v>
      </c>
      <c r="H192" s="57">
        <v>26.513300000000001</v>
      </c>
      <c r="I192" s="57">
        <v>26.295200000000001</v>
      </c>
      <c r="J192" s="33">
        <f t="shared" si="1"/>
        <v>0.60480000000000089</v>
      </c>
      <c r="K192" s="33">
        <f t="shared" si="2"/>
        <v>0.38670000000000115</v>
      </c>
    </row>
    <row r="193" spans="1:11" x14ac:dyDescent="0.2">
      <c r="A193" s="70">
        <v>44650</v>
      </c>
      <c r="B193" s="57">
        <v>2352</v>
      </c>
      <c r="C193" s="57" t="s">
        <v>173</v>
      </c>
      <c r="D193" s="57" t="s">
        <v>174</v>
      </c>
      <c r="E193" s="57" t="s">
        <v>175</v>
      </c>
      <c r="F193" s="57">
        <f t="shared" si="8"/>
        <v>1</v>
      </c>
      <c r="G193" s="57">
        <v>25.857399999999998</v>
      </c>
      <c r="H193" s="57">
        <v>26.073699999999999</v>
      </c>
      <c r="I193" s="57">
        <v>26.194700000000001</v>
      </c>
      <c r="J193" s="33">
        <f t="shared" si="1"/>
        <v>0.21630000000000038</v>
      </c>
      <c r="K193" s="33">
        <f t="shared" si="2"/>
        <v>0.3373000000000026</v>
      </c>
    </row>
    <row r="194" spans="1:11" x14ac:dyDescent="0.2">
      <c r="A194" s="70">
        <v>44655</v>
      </c>
      <c r="B194" s="57">
        <v>2025</v>
      </c>
      <c r="C194" s="57" t="s">
        <v>173</v>
      </c>
      <c r="D194" s="57" t="s">
        <v>177</v>
      </c>
      <c r="E194" s="57" t="s">
        <v>175</v>
      </c>
      <c r="F194" s="57">
        <f t="shared" si="8"/>
        <v>0</v>
      </c>
      <c r="G194" s="57">
        <v>26.426200000000001</v>
      </c>
      <c r="H194" s="57">
        <v>27.047999999999998</v>
      </c>
      <c r="I194" s="57">
        <v>26.676100000000002</v>
      </c>
      <c r="J194" s="33">
        <f t="shared" si="1"/>
        <v>0.6217999999999968</v>
      </c>
      <c r="K194" s="33">
        <f t="shared" si="2"/>
        <v>0.24990000000000023</v>
      </c>
    </row>
    <row r="195" spans="1:11" x14ac:dyDescent="0.2">
      <c r="A195" s="70">
        <v>44655</v>
      </c>
      <c r="B195" s="57">
        <v>2030</v>
      </c>
      <c r="C195" s="57" t="s">
        <v>173</v>
      </c>
      <c r="D195" s="57" t="s">
        <v>174</v>
      </c>
      <c r="E195" s="57" t="s">
        <v>178</v>
      </c>
      <c r="F195" s="57">
        <f t="shared" si="8"/>
        <v>1</v>
      </c>
      <c r="G195" s="57">
        <v>25.970400000000001</v>
      </c>
      <c r="H195" s="57">
        <v>28.255500000000001</v>
      </c>
      <c r="I195" s="57">
        <v>27.0322</v>
      </c>
      <c r="J195" s="33">
        <f t="shared" si="1"/>
        <v>2.2850999999999999</v>
      </c>
      <c r="K195" s="33">
        <f t="shared" si="2"/>
        <v>1.0617999999999981</v>
      </c>
    </row>
    <row r="196" spans="1:11" x14ac:dyDescent="0.2">
      <c r="A196" s="70">
        <v>44650</v>
      </c>
      <c r="B196" s="57">
        <v>2009</v>
      </c>
      <c r="C196" s="57" t="s">
        <v>173</v>
      </c>
      <c r="D196" s="57" t="s">
        <v>174</v>
      </c>
      <c r="E196" s="57" t="s">
        <v>175</v>
      </c>
      <c r="F196" s="57">
        <f t="shared" si="8"/>
        <v>1</v>
      </c>
      <c r="G196" s="57">
        <v>26.3355</v>
      </c>
      <c r="H196" s="57">
        <v>26.992000000000001</v>
      </c>
      <c r="I196" s="57">
        <v>26.655899999999999</v>
      </c>
      <c r="J196" s="33">
        <f t="shared" si="1"/>
        <v>0.65650000000000119</v>
      </c>
      <c r="K196" s="33">
        <f t="shared" si="2"/>
        <v>0.32039999999999935</v>
      </c>
    </row>
    <row r="197" spans="1:11" x14ac:dyDescent="0.2">
      <c r="A197" s="70">
        <v>44655</v>
      </c>
      <c r="B197" s="57">
        <v>1478</v>
      </c>
      <c r="C197" s="57" t="s">
        <v>176</v>
      </c>
      <c r="D197" s="57" t="s">
        <v>174</v>
      </c>
      <c r="E197" s="57" t="s">
        <v>175</v>
      </c>
      <c r="F197" s="57">
        <f t="shared" si="8"/>
        <v>1</v>
      </c>
      <c r="G197" s="57">
        <v>26.445799999999998</v>
      </c>
      <c r="H197" s="57">
        <v>28.0763</v>
      </c>
      <c r="I197" s="57">
        <v>27.004799999999999</v>
      </c>
      <c r="J197" s="33">
        <f t="shared" si="1"/>
        <v>1.6305000000000014</v>
      </c>
      <c r="K197" s="33">
        <f t="shared" si="2"/>
        <v>0.55900000000000105</v>
      </c>
    </row>
    <row r="198" spans="1:11" x14ac:dyDescent="0.2">
      <c r="A198" s="70">
        <v>44650</v>
      </c>
      <c r="B198" s="57">
        <v>2009</v>
      </c>
      <c r="C198" s="57" t="s">
        <v>173</v>
      </c>
      <c r="D198" s="57" t="s">
        <v>177</v>
      </c>
      <c r="E198" s="57" t="s">
        <v>175</v>
      </c>
      <c r="F198" s="57">
        <f t="shared" si="8"/>
        <v>0</v>
      </c>
      <c r="G198" s="57">
        <v>26.185199999999998</v>
      </c>
      <c r="H198" s="57">
        <v>27.053999999999998</v>
      </c>
      <c r="I198" s="57">
        <v>26.352900000000002</v>
      </c>
      <c r="J198" s="33">
        <f t="shared" si="1"/>
        <v>0.86880000000000024</v>
      </c>
      <c r="K198" s="33">
        <f t="shared" si="2"/>
        <v>0.16770000000000351</v>
      </c>
    </row>
    <row r="199" spans="1:11" x14ac:dyDescent="0.2">
      <c r="A199" s="70">
        <v>44655</v>
      </c>
      <c r="B199" s="57">
        <v>2086</v>
      </c>
      <c r="C199" s="57" t="s">
        <v>173</v>
      </c>
      <c r="D199" s="57" t="s">
        <v>174</v>
      </c>
      <c r="E199" s="57" t="s">
        <v>175</v>
      </c>
      <c r="F199" s="57">
        <f t="shared" si="8"/>
        <v>1</v>
      </c>
      <c r="G199" s="57">
        <v>25.750299999999999</v>
      </c>
      <c r="H199" s="57">
        <v>27.0016</v>
      </c>
      <c r="I199" s="57">
        <v>26.1037</v>
      </c>
      <c r="J199" s="33">
        <f t="shared" si="1"/>
        <v>1.2513000000000005</v>
      </c>
      <c r="K199" s="33">
        <f t="shared" si="2"/>
        <v>0.3534000000000006</v>
      </c>
    </row>
    <row r="200" spans="1:11" x14ac:dyDescent="0.2">
      <c r="A200" s="70">
        <v>44650</v>
      </c>
      <c r="B200" s="57">
        <v>2371</v>
      </c>
      <c r="C200" s="57" t="s">
        <v>173</v>
      </c>
      <c r="D200" s="57" t="s">
        <v>177</v>
      </c>
      <c r="E200" s="57" t="s">
        <v>175</v>
      </c>
      <c r="F200" s="57">
        <f t="shared" si="8"/>
        <v>0</v>
      </c>
      <c r="G200" s="57">
        <v>15.6233</v>
      </c>
      <c r="H200" s="57">
        <v>16.077999999999999</v>
      </c>
      <c r="I200" s="57">
        <v>15.758100000000001</v>
      </c>
      <c r="J200" s="33">
        <f t="shared" si="1"/>
        <v>0.45469999999999899</v>
      </c>
      <c r="K200" s="33">
        <f t="shared" si="2"/>
        <v>0.13480000000000025</v>
      </c>
    </row>
    <row r="201" spans="1:11" x14ac:dyDescent="0.2">
      <c r="A201" s="70">
        <v>44655</v>
      </c>
      <c r="B201" s="57">
        <v>2026</v>
      </c>
      <c r="C201" s="57" t="s">
        <v>173</v>
      </c>
      <c r="D201" s="57" t="s">
        <v>177</v>
      </c>
      <c r="E201" s="57" t="s">
        <v>178</v>
      </c>
      <c r="F201" s="57">
        <f t="shared" si="8"/>
        <v>0</v>
      </c>
      <c r="G201" s="57">
        <v>26.210999999999999</v>
      </c>
      <c r="H201" s="57">
        <v>32.780200000000001</v>
      </c>
      <c r="I201" s="57">
        <v>29.2379</v>
      </c>
      <c r="J201" s="33">
        <f t="shared" si="1"/>
        <v>6.5692000000000021</v>
      </c>
      <c r="K201" s="33">
        <f t="shared" si="2"/>
        <v>3.0269000000000013</v>
      </c>
    </row>
    <row r="202" spans="1:11" x14ac:dyDescent="0.2">
      <c r="A202" s="70">
        <v>44650</v>
      </c>
      <c r="B202" s="57">
        <v>2354</v>
      </c>
      <c r="C202" s="57" t="s">
        <v>173</v>
      </c>
      <c r="D202" s="57" t="s">
        <v>177</v>
      </c>
      <c r="E202" s="57" t="s">
        <v>178</v>
      </c>
      <c r="F202" s="57">
        <f t="shared" si="8"/>
        <v>0</v>
      </c>
      <c r="G202" s="57">
        <v>26.270900000000001</v>
      </c>
      <c r="H202" s="57">
        <v>28.4329</v>
      </c>
      <c r="I202" s="57">
        <v>27.1188</v>
      </c>
      <c r="J202" s="33">
        <f t="shared" si="1"/>
        <v>2.161999999999999</v>
      </c>
      <c r="K202" s="33">
        <f t="shared" si="2"/>
        <v>0.84789999999999921</v>
      </c>
    </row>
    <row r="203" spans="1:11" x14ac:dyDescent="0.2">
      <c r="A203" s="70">
        <v>44655</v>
      </c>
      <c r="B203" s="57">
        <v>2024</v>
      </c>
      <c r="C203" s="57" t="s">
        <v>173</v>
      </c>
      <c r="D203" s="57" t="s">
        <v>177</v>
      </c>
      <c r="E203" s="57" t="s">
        <v>178</v>
      </c>
      <c r="F203" s="57">
        <f t="shared" si="8"/>
        <v>0</v>
      </c>
      <c r="G203" s="57">
        <v>25.699400000000001</v>
      </c>
      <c r="H203" s="57">
        <v>32.334899999999998</v>
      </c>
      <c r="I203" s="57">
        <v>28.5153</v>
      </c>
      <c r="J203" s="33">
        <f t="shared" si="1"/>
        <v>6.6354999999999968</v>
      </c>
      <c r="K203" s="33">
        <f t="shared" si="2"/>
        <v>2.8158999999999992</v>
      </c>
    </row>
    <row r="204" spans="1:11" x14ac:dyDescent="0.2">
      <c r="A204" s="70">
        <v>44650</v>
      </c>
      <c r="B204" s="57">
        <v>2369</v>
      </c>
      <c r="C204" s="57" t="s">
        <v>173</v>
      </c>
      <c r="D204" s="57" t="s">
        <v>174</v>
      </c>
      <c r="E204" s="57" t="s">
        <v>175</v>
      </c>
      <c r="F204" s="57">
        <f t="shared" si="8"/>
        <v>1</v>
      </c>
      <c r="G204" s="57">
        <v>26.485700000000001</v>
      </c>
      <c r="H204" s="57">
        <v>26.684999999999999</v>
      </c>
      <c r="I204" s="57">
        <v>27.0793</v>
      </c>
      <c r="J204" s="33">
        <f t="shared" si="1"/>
        <v>0.19929999999999737</v>
      </c>
      <c r="K204" s="33">
        <f t="shared" si="2"/>
        <v>0.59359999999999857</v>
      </c>
    </row>
    <row r="205" spans="1:11" x14ac:dyDescent="0.2">
      <c r="A205" s="70">
        <v>44655</v>
      </c>
      <c r="B205" s="57">
        <v>2015</v>
      </c>
      <c r="C205" s="57" t="s">
        <v>176</v>
      </c>
      <c r="D205" s="57" t="s">
        <v>177</v>
      </c>
      <c r="E205" s="57" t="s">
        <v>175</v>
      </c>
      <c r="F205" s="57">
        <f t="shared" si="8"/>
        <v>0</v>
      </c>
      <c r="G205" s="57">
        <v>26.900200000000002</v>
      </c>
      <c r="H205" s="57">
        <v>28.688800000000001</v>
      </c>
      <c r="I205" s="57">
        <v>27.616900000000001</v>
      </c>
      <c r="J205" s="33">
        <f t="shared" si="1"/>
        <v>1.7885999999999989</v>
      </c>
      <c r="K205" s="33">
        <f t="shared" si="2"/>
        <v>0.71669999999999945</v>
      </c>
    </row>
    <row r="206" spans="1:11" x14ac:dyDescent="0.2">
      <c r="A206" s="70">
        <v>44650</v>
      </c>
      <c r="B206" s="57">
        <v>2360</v>
      </c>
      <c r="C206" s="57" t="s">
        <v>173</v>
      </c>
      <c r="D206" s="57" t="s">
        <v>174</v>
      </c>
      <c r="E206" s="57" t="s">
        <v>175</v>
      </c>
      <c r="F206" s="57">
        <f t="shared" si="8"/>
        <v>1</v>
      </c>
      <c r="G206" s="57">
        <v>26.1919</v>
      </c>
      <c r="H206" s="57">
        <v>26.764800000000001</v>
      </c>
      <c r="I206" s="57">
        <v>26.653199999999998</v>
      </c>
      <c r="J206" s="33">
        <f t="shared" si="1"/>
        <v>0.57290000000000063</v>
      </c>
      <c r="K206" s="33">
        <f t="shared" si="2"/>
        <v>0.46129999999999782</v>
      </c>
    </row>
    <row r="207" spans="1:11" x14ac:dyDescent="0.2">
      <c r="A207" s="70">
        <v>44655</v>
      </c>
      <c r="B207" s="57">
        <v>2012</v>
      </c>
      <c r="C207" s="57" t="s">
        <v>173</v>
      </c>
      <c r="D207" s="57" t="s">
        <v>177</v>
      </c>
      <c r="E207" s="57" t="s">
        <v>178</v>
      </c>
      <c r="F207" s="57">
        <f t="shared" si="8"/>
        <v>0</v>
      </c>
      <c r="G207" s="57">
        <v>25.947700000000001</v>
      </c>
      <c r="H207" s="57">
        <v>32.170699999999997</v>
      </c>
      <c r="I207" s="57">
        <v>28.1282</v>
      </c>
      <c r="J207" s="33">
        <f t="shared" si="1"/>
        <v>6.2229999999999954</v>
      </c>
      <c r="K207" s="33">
        <f t="shared" si="2"/>
        <v>2.1804999999999986</v>
      </c>
    </row>
    <row r="208" spans="1:11" x14ac:dyDescent="0.2">
      <c r="A208" s="70">
        <v>44655</v>
      </c>
      <c r="B208" s="57">
        <v>2027</v>
      </c>
      <c r="C208" s="57" t="s">
        <v>173</v>
      </c>
      <c r="D208" s="57" t="s">
        <v>174</v>
      </c>
      <c r="E208" s="57" t="s">
        <v>175</v>
      </c>
      <c r="F208" s="57">
        <f t="shared" si="8"/>
        <v>1</v>
      </c>
      <c r="G208" s="57">
        <v>15.607799999999999</v>
      </c>
      <c r="H208" s="57">
        <v>15.838200000000001</v>
      </c>
      <c r="I208" s="57">
        <v>15.921799999999999</v>
      </c>
      <c r="J208" s="33">
        <f t="shared" si="1"/>
        <v>0.23040000000000127</v>
      </c>
      <c r="K208" s="33">
        <f t="shared" si="2"/>
        <v>0.31400000000000006</v>
      </c>
    </row>
    <row r="209" spans="1:11" x14ac:dyDescent="0.2">
      <c r="A209" s="70">
        <v>44655</v>
      </c>
      <c r="B209" s="57">
        <v>2008</v>
      </c>
      <c r="C209" s="57" t="s">
        <v>173</v>
      </c>
      <c r="D209" s="57" t="s">
        <v>177</v>
      </c>
      <c r="E209" s="57" t="s">
        <v>175</v>
      </c>
      <c r="F209" s="57">
        <f t="shared" si="8"/>
        <v>0</v>
      </c>
      <c r="G209" s="57">
        <v>25.637499999999999</v>
      </c>
      <c r="H209" s="57">
        <v>26.476099999999999</v>
      </c>
      <c r="I209" s="57">
        <v>25.822600000000001</v>
      </c>
      <c r="J209" s="33">
        <f t="shared" si="1"/>
        <v>0.83859999999999957</v>
      </c>
      <c r="K209" s="33">
        <f t="shared" si="2"/>
        <v>0.18510000000000204</v>
      </c>
    </row>
    <row r="210" spans="1:11" x14ac:dyDescent="0.2">
      <c r="A210" s="70">
        <v>44650</v>
      </c>
      <c r="B210" s="57">
        <v>2378</v>
      </c>
      <c r="C210" s="57" t="s">
        <v>173</v>
      </c>
      <c r="D210" s="57" t="s">
        <v>174</v>
      </c>
      <c r="E210" s="57" t="s">
        <v>175</v>
      </c>
      <c r="F210" s="57">
        <f t="shared" si="8"/>
        <v>1</v>
      </c>
      <c r="G210" s="57">
        <v>26.5167</v>
      </c>
      <c r="H210" s="57">
        <v>27.4468</v>
      </c>
      <c r="I210" s="57">
        <v>26.9452</v>
      </c>
      <c r="J210" s="33">
        <f t="shared" si="1"/>
        <v>0.93009999999999948</v>
      </c>
      <c r="K210" s="33">
        <f t="shared" si="2"/>
        <v>0.42849999999999966</v>
      </c>
    </row>
    <row r="211" spans="1:11" x14ac:dyDescent="0.2">
      <c r="A211" s="70">
        <v>44650</v>
      </c>
      <c r="B211" s="57">
        <v>2343</v>
      </c>
      <c r="C211" s="57" t="s">
        <v>173</v>
      </c>
      <c r="D211" s="57" t="s">
        <v>177</v>
      </c>
      <c r="E211" s="57" t="s">
        <v>175</v>
      </c>
      <c r="F211" s="57">
        <f t="shared" si="8"/>
        <v>0</v>
      </c>
      <c r="G211" s="57">
        <v>26.3505</v>
      </c>
      <c r="H211" s="57">
        <v>27.5913</v>
      </c>
      <c r="I211" s="57">
        <v>26.647300000000001</v>
      </c>
      <c r="J211" s="33">
        <f t="shared" si="1"/>
        <v>1.2408000000000001</v>
      </c>
      <c r="K211" s="33">
        <f t="shared" si="2"/>
        <v>0.29680000000000106</v>
      </c>
    </row>
    <row r="212" spans="1:11" x14ac:dyDescent="0.2">
      <c r="A212" s="70">
        <v>44655</v>
      </c>
      <c r="B212" s="57">
        <v>2031</v>
      </c>
      <c r="C212" s="57" t="s">
        <v>173</v>
      </c>
      <c r="D212" s="57" t="s">
        <v>177</v>
      </c>
      <c r="E212" s="57" t="s">
        <v>178</v>
      </c>
      <c r="F212" s="57">
        <f t="shared" si="8"/>
        <v>0</v>
      </c>
      <c r="G212" s="57">
        <v>26.209</v>
      </c>
      <c r="H212" s="57">
        <v>30.941400000000002</v>
      </c>
      <c r="I212" s="57">
        <v>28.235499999999998</v>
      </c>
      <c r="J212" s="33">
        <f t="shared" si="1"/>
        <v>4.7324000000000019</v>
      </c>
      <c r="K212" s="33">
        <f t="shared" si="2"/>
        <v>2.0264999999999986</v>
      </c>
    </row>
    <row r="213" spans="1:11" x14ac:dyDescent="0.2">
      <c r="A213" s="70">
        <v>44655</v>
      </c>
      <c r="B213" s="57">
        <v>2011</v>
      </c>
      <c r="C213" s="57" t="s">
        <v>173</v>
      </c>
      <c r="D213" s="57" t="s">
        <v>177</v>
      </c>
      <c r="E213" s="57" t="s">
        <v>178</v>
      </c>
      <c r="F213" s="57">
        <f t="shared" si="8"/>
        <v>0</v>
      </c>
      <c r="G213" s="57">
        <v>25.987200000000001</v>
      </c>
      <c r="H213" s="57">
        <v>30.302</v>
      </c>
      <c r="I213" s="57">
        <v>27.77</v>
      </c>
      <c r="J213" s="33">
        <f t="shared" si="1"/>
        <v>4.3147999999999982</v>
      </c>
      <c r="K213" s="33">
        <f t="shared" si="2"/>
        <v>1.7827999999999982</v>
      </c>
    </row>
    <row r="214" spans="1:11" x14ac:dyDescent="0.2">
      <c r="A214" s="70">
        <v>44650</v>
      </c>
      <c r="B214" s="57">
        <v>2380</v>
      </c>
      <c r="C214" s="57" t="s">
        <v>173</v>
      </c>
      <c r="D214" s="57" t="s">
        <v>177</v>
      </c>
      <c r="E214" s="57" t="s">
        <v>178</v>
      </c>
      <c r="F214" s="57">
        <f t="shared" si="8"/>
        <v>0</v>
      </c>
      <c r="G214" s="57">
        <v>26.139099999999999</v>
      </c>
      <c r="H214" s="57">
        <v>26.6951</v>
      </c>
      <c r="I214" s="57">
        <v>26.313800000000001</v>
      </c>
      <c r="J214" s="33">
        <f t="shared" si="1"/>
        <v>0.55600000000000094</v>
      </c>
      <c r="K214" s="33">
        <f t="shared" si="2"/>
        <v>0.17470000000000141</v>
      </c>
    </row>
    <row r="215" spans="1:11" x14ac:dyDescent="0.2">
      <c r="A215" s="70">
        <v>44655</v>
      </c>
      <c r="B215" s="57">
        <v>2090</v>
      </c>
      <c r="C215" s="57" t="s">
        <v>173</v>
      </c>
      <c r="D215" s="57" t="s">
        <v>174</v>
      </c>
      <c r="E215" s="57" t="s">
        <v>175</v>
      </c>
      <c r="F215" s="57">
        <f t="shared" si="8"/>
        <v>1</v>
      </c>
      <c r="G215" s="57">
        <v>26.1816</v>
      </c>
      <c r="H215" s="57">
        <v>27.433</v>
      </c>
      <c r="I215" s="57">
        <v>26.9313</v>
      </c>
      <c r="J215" s="33">
        <f t="shared" si="1"/>
        <v>1.2514000000000003</v>
      </c>
      <c r="K215" s="33">
        <f t="shared" si="2"/>
        <v>0.7497000000000007</v>
      </c>
    </row>
    <row r="216" spans="1:11" x14ac:dyDescent="0.2">
      <c r="A216" s="70">
        <v>44650</v>
      </c>
      <c r="B216" s="57">
        <v>2009</v>
      </c>
      <c r="C216" s="57" t="s">
        <v>173</v>
      </c>
      <c r="D216" s="57" t="s">
        <v>177</v>
      </c>
      <c r="E216" s="57" t="s">
        <v>178</v>
      </c>
      <c r="F216" s="57">
        <f t="shared" si="8"/>
        <v>0</v>
      </c>
      <c r="G216" s="57">
        <v>25.843299999999999</v>
      </c>
      <c r="H216" s="57">
        <v>29.762599999999999</v>
      </c>
      <c r="I216" s="57">
        <v>27.392800000000001</v>
      </c>
      <c r="J216" s="33">
        <f t="shared" si="1"/>
        <v>3.9192999999999998</v>
      </c>
      <c r="K216" s="33">
        <f t="shared" si="2"/>
        <v>1.5495000000000019</v>
      </c>
    </row>
    <row r="217" spans="1:11" x14ac:dyDescent="0.2">
      <c r="A217" s="70">
        <v>44655</v>
      </c>
      <c r="B217" s="57">
        <v>2092</v>
      </c>
      <c r="C217" s="57" t="s">
        <v>173</v>
      </c>
      <c r="D217" s="57" t="s">
        <v>174</v>
      </c>
      <c r="E217" s="57" t="s">
        <v>178</v>
      </c>
      <c r="F217" s="57">
        <f t="shared" si="8"/>
        <v>1</v>
      </c>
      <c r="G217" s="57">
        <v>25.927199999999999</v>
      </c>
      <c r="H217" s="57">
        <v>30.7864</v>
      </c>
      <c r="I217" s="57">
        <v>28.66</v>
      </c>
      <c r="J217" s="33">
        <f t="shared" si="1"/>
        <v>4.8592000000000013</v>
      </c>
      <c r="K217" s="33">
        <f t="shared" si="2"/>
        <v>2.732800000000001</v>
      </c>
    </row>
    <row r="218" spans="1:11" x14ac:dyDescent="0.2">
      <c r="A218" s="70">
        <v>44655</v>
      </c>
      <c r="B218" s="57">
        <v>1478</v>
      </c>
      <c r="C218" s="57" t="s">
        <v>173</v>
      </c>
      <c r="D218" s="57" t="s">
        <v>174</v>
      </c>
      <c r="E218" s="57" t="s">
        <v>175</v>
      </c>
      <c r="F218" s="57">
        <f t="shared" si="8"/>
        <v>1</v>
      </c>
      <c r="G218" s="57">
        <v>25.709199999999999</v>
      </c>
      <c r="H218" s="57">
        <v>27.986000000000001</v>
      </c>
      <c r="I218" s="57">
        <v>26.574300000000001</v>
      </c>
      <c r="J218" s="33">
        <f t="shared" si="1"/>
        <v>2.2768000000000015</v>
      </c>
      <c r="K218" s="33">
        <f t="shared" si="2"/>
        <v>0.86510000000000176</v>
      </c>
    </row>
    <row r="219" spans="1:11" x14ac:dyDescent="0.2">
      <c r="A219" s="70">
        <v>44655</v>
      </c>
      <c r="B219" s="57">
        <v>2012</v>
      </c>
      <c r="C219" s="57" t="s">
        <v>173</v>
      </c>
      <c r="D219" s="57" t="s">
        <v>174</v>
      </c>
      <c r="E219" s="57" t="s">
        <v>175</v>
      </c>
      <c r="F219" s="57">
        <f t="shared" si="8"/>
        <v>1</v>
      </c>
      <c r="G219" s="57">
        <v>25.886600000000001</v>
      </c>
      <c r="H219" s="57">
        <v>27.927600000000002</v>
      </c>
      <c r="I219" s="57">
        <v>26.8505</v>
      </c>
      <c r="J219" s="33">
        <f t="shared" si="1"/>
        <v>2.0410000000000004</v>
      </c>
      <c r="K219" s="33">
        <f t="shared" si="2"/>
        <v>0.96389999999999887</v>
      </c>
    </row>
    <row r="220" spans="1:11" x14ac:dyDescent="0.2">
      <c r="A220" s="70">
        <v>44650</v>
      </c>
      <c r="B220" s="57">
        <v>2352</v>
      </c>
      <c r="C220" s="57" t="s">
        <v>173</v>
      </c>
      <c r="D220" s="57" t="s">
        <v>174</v>
      </c>
      <c r="E220" s="57" t="s">
        <v>178</v>
      </c>
      <c r="F220" s="57">
        <f t="shared" si="8"/>
        <v>1</v>
      </c>
      <c r="G220" s="57">
        <v>25.636299999999999</v>
      </c>
      <c r="H220" s="57">
        <v>28.831</v>
      </c>
      <c r="I220" s="57">
        <v>27.559000000000001</v>
      </c>
      <c r="J220" s="33">
        <f t="shared" si="1"/>
        <v>3.194700000000001</v>
      </c>
      <c r="K220" s="33">
        <f t="shared" si="2"/>
        <v>1.9227000000000025</v>
      </c>
    </row>
    <row r="221" spans="1:11" x14ac:dyDescent="0.2">
      <c r="A221" s="70">
        <v>44655</v>
      </c>
      <c r="B221" s="57">
        <v>2087</v>
      </c>
      <c r="C221" s="57" t="s">
        <v>176</v>
      </c>
      <c r="D221" s="57" t="s">
        <v>177</v>
      </c>
      <c r="E221" s="57" t="s">
        <v>175</v>
      </c>
      <c r="F221" s="57">
        <f t="shared" si="8"/>
        <v>0</v>
      </c>
      <c r="G221" s="57">
        <v>25.891300000000001</v>
      </c>
      <c r="H221" s="57">
        <v>27.533799999999999</v>
      </c>
      <c r="I221" s="57">
        <v>26.2715</v>
      </c>
      <c r="J221" s="33">
        <f t="shared" si="1"/>
        <v>1.6424999999999983</v>
      </c>
      <c r="K221" s="33">
        <f t="shared" si="2"/>
        <v>0.38019999999999854</v>
      </c>
    </row>
    <row r="222" spans="1:11" x14ac:dyDescent="0.2">
      <c r="A222" s="70">
        <v>44655</v>
      </c>
      <c r="B222" s="57">
        <v>2029</v>
      </c>
      <c r="C222" s="57" t="s">
        <v>173</v>
      </c>
      <c r="D222" s="57" t="s">
        <v>177</v>
      </c>
      <c r="E222" s="57" t="s">
        <v>175</v>
      </c>
      <c r="F222" s="57">
        <f t="shared" si="8"/>
        <v>0</v>
      </c>
      <c r="G222" s="57">
        <v>25.8444</v>
      </c>
      <c r="H222" s="57">
        <v>25.786000000000001</v>
      </c>
      <c r="I222" s="57">
        <v>25.981300000000001</v>
      </c>
      <c r="J222" s="33">
        <f t="shared" si="1"/>
        <v>-5.8399999999998897E-2</v>
      </c>
      <c r="K222" s="33">
        <f t="shared" si="2"/>
        <v>0.13690000000000069</v>
      </c>
    </row>
    <row r="223" spans="1:11" x14ac:dyDescent="0.2">
      <c r="A223" s="70">
        <v>44650</v>
      </c>
      <c r="B223" s="57">
        <v>2352</v>
      </c>
      <c r="C223" s="57" t="s">
        <v>173</v>
      </c>
      <c r="D223" s="57" t="s">
        <v>177</v>
      </c>
      <c r="E223" s="57" t="s">
        <v>175</v>
      </c>
      <c r="F223" s="57">
        <f t="shared" si="8"/>
        <v>0</v>
      </c>
      <c r="G223" s="57">
        <v>25.949400000000001</v>
      </c>
      <c r="H223" s="57">
        <v>26.484000000000002</v>
      </c>
      <c r="I223" s="57">
        <v>26.122499999999999</v>
      </c>
      <c r="J223" s="33">
        <f t="shared" si="1"/>
        <v>0.53460000000000107</v>
      </c>
      <c r="K223" s="33">
        <f t="shared" si="2"/>
        <v>0.17309999999999803</v>
      </c>
    </row>
    <row r="224" spans="1:11" x14ac:dyDescent="0.2">
      <c r="A224" s="70">
        <v>44655</v>
      </c>
      <c r="B224" s="57">
        <v>2024</v>
      </c>
      <c r="C224" s="57" t="s">
        <v>173</v>
      </c>
      <c r="D224" s="57" t="s">
        <v>174</v>
      </c>
      <c r="E224" s="57" t="s">
        <v>175</v>
      </c>
      <c r="F224" s="57">
        <f t="shared" si="8"/>
        <v>1</v>
      </c>
      <c r="G224" s="57">
        <v>26.222000000000001</v>
      </c>
      <c r="H224" s="57">
        <v>27.578399999999998</v>
      </c>
      <c r="I224" s="57">
        <v>26.851800000000001</v>
      </c>
      <c r="J224" s="33">
        <f t="shared" si="1"/>
        <v>1.3563999999999972</v>
      </c>
      <c r="K224" s="33">
        <f t="shared" si="2"/>
        <v>0.62979999999999947</v>
      </c>
    </row>
    <row r="225" spans="1:11" x14ac:dyDescent="0.2">
      <c r="A225" s="70">
        <v>44655</v>
      </c>
      <c r="B225" s="57">
        <v>2088</v>
      </c>
      <c r="C225" s="57" t="s">
        <v>176</v>
      </c>
      <c r="D225" s="57" t="s">
        <v>177</v>
      </c>
      <c r="E225" s="57" t="s">
        <v>175</v>
      </c>
      <c r="F225" s="57">
        <f t="shared" si="8"/>
        <v>0</v>
      </c>
      <c r="G225" s="57">
        <v>15.6167</v>
      </c>
      <c r="H225" s="57">
        <v>17.200299999999999</v>
      </c>
      <c r="I225" s="57">
        <v>16.012799999999999</v>
      </c>
      <c r="J225" s="33">
        <f t="shared" si="1"/>
        <v>1.5835999999999988</v>
      </c>
      <c r="K225" s="33">
        <f t="shared" si="2"/>
        <v>0.39609999999999879</v>
      </c>
    </row>
    <row r="226" spans="1:11" x14ac:dyDescent="0.2">
      <c r="A226" s="70">
        <v>44655</v>
      </c>
      <c r="B226" s="57">
        <v>2022</v>
      </c>
      <c r="C226" s="57" t="s">
        <v>173</v>
      </c>
      <c r="D226" s="57" t="s">
        <v>174</v>
      </c>
      <c r="E226" s="57" t="s">
        <v>175</v>
      </c>
      <c r="F226" s="57">
        <f t="shared" si="8"/>
        <v>1</v>
      </c>
      <c r="G226" s="57">
        <v>25.946400000000001</v>
      </c>
      <c r="H226" s="57">
        <v>27.770399999999999</v>
      </c>
      <c r="I226" s="57">
        <v>26.7712</v>
      </c>
      <c r="J226" s="33">
        <f t="shared" si="1"/>
        <v>1.8239999999999981</v>
      </c>
      <c r="K226" s="33">
        <f t="shared" si="2"/>
        <v>0.82479999999999976</v>
      </c>
    </row>
    <row r="227" spans="1:11" x14ac:dyDescent="0.2">
      <c r="A227" s="70">
        <v>44650</v>
      </c>
      <c r="B227" s="57">
        <v>2367</v>
      </c>
      <c r="C227" s="57" t="s">
        <v>173</v>
      </c>
      <c r="D227" s="57" t="s">
        <v>174</v>
      </c>
      <c r="E227" s="57" t="s">
        <v>175</v>
      </c>
      <c r="F227" s="57">
        <f t="shared" si="8"/>
        <v>1</v>
      </c>
      <c r="G227" s="57">
        <v>25.9771</v>
      </c>
      <c r="H227" s="57">
        <v>27.109100000000002</v>
      </c>
      <c r="I227" s="57">
        <v>26.821200000000001</v>
      </c>
      <c r="J227" s="33">
        <f t="shared" si="1"/>
        <v>1.1320000000000014</v>
      </c>
      <c r="K227" s="33">
        <f t="shared" si="2"/>
        <v>0.84410000000000096</v>
      </c>
    </row>
    <row r="228" spans="1:11" x14ac:dyDescent="0.2">
      <c r="A228" s="70">
        <v>44650</v>
      </c>
      <c r="B228" s="57">
        <v>2354</v>
      </c>
      <c r="C228" s="57" t="s">
        <v>173</v>
      </c>
      <c r="D228" s="57" t="s">
        <v>177</v>
      </c>
      <c r="E228" s="57" t="s">
        <v>175</v>
      </c>
      <c r="F228" s="57">
        <f t="shared" si="8"/>
        <v>0</v>
      </c>
      <c r="G228" s="57">
        <v>26.501000000000001</v>
      </c>
      <c r="H228" s="57">
        <v>26.276700000000002</v>
      </c>
      <c r="I228" s="57">
        <v>26.5444</v>
      </c>
      <c r="J228" s="33">
        <f t="shared" si="1"/>
        <v>-0.2242999999999995</v>
      </c>
      <c r="K228" s="33">
        <f t="shared" si="2"/>
        <v>4.3399999999998329E-2</v>
      </c>
    </row>
    <row r="229" spans="1:11" x14ac:dyDescent="0.2">
      <c r="A229" s="70">
        <v>44655</v>
      </c>
      <c r="B229" s="57">
        <v>2093</v>
      </c>
      <c r="C229" s="57" t="s">
        <v>173</v>
      </c>
      <c r="D229" s="57" t="s">
        <v>177</v>
      </c>
      <c r="E229" s="57" t="s">
        <v>178</v>
      </c>
      <c r="F229" s="57">
        <f t="shared" si="8"/>
        <v>0</v>
      </c>
      <c r="G229" s="57">
        <v>26.0688</v>
      </c>
      <c r="H229" s="57">
        <v>26.436299999999999</v>
      </c>
      <c r="I229" s="57">
        <v>26.166899999999998</v>
      </c>
      <c r="J229" s="33">
        <f t="shared" si="1"/>
        <v>0.36749999999999972</v>
      </c>
      <c r="K229" s="33">
        <f t="shared" si="2"/>
        <v>9.8099999999998744E-2</v>
      </c>
    </row>
    <row r="230" spans="1:11" x14ac:dyDescent="0.2">
      <c r="A230" s="70">
        <v>44650</v>
      </c>
      <c r="B230" s="57">
        <v>2377</v>
      </c>
      <c r="C230" s="57" t="s">
        <v>173</v>
      </c>
      <c r="D230" s="57" t="s">
        <v>174</v>
      </c>
      <c r="E230" s="57" t="s">
        <v>175</v>
      </c>
      <c r="F230" s="57">
        <f t="shared" si="8"/>
        <v>1</v>
      </c>
      <c r="G230" s="57">
        <v>26.550699999999999</v>
      </c>
      <c r="H230" s="57">
        <v>26.962199999999999</v>
      </c>
      <c r="I230" s="57">
        <v>27.0137</v>
      </c>
      <c r="J230" s="33">
        <f t="shared" si="1"/>
        <v>0.4115000000000002</v>
      </c>
      <c r="K230" s="33">
        <f t="shared" si="2"/>
        <v>0.46300000000000097</v>
      </c>
    </row>
    <row r="231" spans="1:11" x14ac:dyDescent="0.2">
      <c r="A231" s="70">
        <v>44655</v>
      </c>
      <c r="B231" s="57">
        <v>2008</v>
      </c>
      <c r="C231" s="57" t="s">
        <v>173</v>
      </c>
      <c r="D231" s="57" t="s">
        <v>177</v>
      </c>
      <c r="E231" s="57" t="s">
        <v>178</v>
      </c>
      <c r="F231" s="57">
        <f t="shared" si="8"/>
        <v>0</v>
      </c>
      <c r="G231" s="57">
        <v>26.180499999999999</v>
      </c>
      <c r="H231" s="57">
        <v>31.734100000000002</v>
      </c>
      <c r="I231" s="57">
        <v>28.349399999999999</v>
      </c>
      <c r="J231" s="33">
        <f t="shared" si="1"/>
        <v>5.553600000000003</v>
      </c>
      <c r="K231" s="33">
        <f t="shared" si="2"/>
        <v>2.1689000000000007</v>
      </c>
    </row>
    <row r="232" spans="1:11" x14ac:dyDescent="0.2">
      <c r="A232" s="70">
        <v>44650</v>
      </c>
      <c r="B232" s="57">
        <v>2367</v>
      </c>
      <c r="C232" s="57" t="s">
        <v>173</v>
      </c>
      <c r="D232" s="57" t="s">
        <v>177</v>
      </c>
      <c r="E232" s="57" t="s">
        <v>175</v>
      </c>
      <c r="F232" s="57">
        <f t="shared" si="8"/>
        <v>0</v>
      </c>
      <c r="G232" s="57">
        <v>25.881799999999998</v>
      </c>
      <c r="H232" s="57">
        <v>26.025700000000001</v>
      </c>
      <c r="I232" s="57">
        <v>25.9787</v>
      </c>
      <c r="J232" s="33">
        <f t="shared" si="1"/>
        <v>0.14390000000000214</v>
      </c>
      <c r="K232" s="33">
        <f t="shared" si="2"/>
        <v>9.690000000000154E-2</v>
      </c>
    </row>
    <row r="233" spans="1:11" x14ac:dyDescent="0.2">
      <c r="A233" s="70">
        <v>44655</v>
      </c>
      <c r="B233" s="57">
        <v>2021</v>
      </c>
      <c r="C233" s="57" t="s">
        <v>173</v>
      </c>
      <c r="D233" s="57" t="s">
        <v>177</v>
      </c>
      <c r="E233" s="57" t="s">
        <v>178</v>
      </c>
      <c r="F233" s="57">
        <f t="shared" si="8"/>
        <v>0</v>
      </c>
      <c r="G233" s="57">
        <v>26.0852</v>
      </c>
      <c r="H233" s="57">
        <v>32.2483</v>
      </c>
      <c r="I233" s="57">
        <v>29.033300000000001</v>
      </c>
      <c r="J233" s="33">
        <f t="shared" si="1"/>
        <v>6.1631</v>
      </c>
      <c r="K233" s="33">
        <f t="shared" si="2"/>
        <v>2.9481000000000002</v>
      </c>
    </row>
    <row r="234" spans="1:11" x14ac:dyDescent="0.2">
      <c r="A234" s="70">
        <v>44655</v>
      </c>
      <c r="B234" s="57">
        <v>2027</v>
      </c>
      <c r="C234" s="57" t="s">
        <v>173</v>
      </c>
      <c r="D234" s="57" t="s">
        <v>177</v>
      </c>
      <c r="E234" s="57" t="s">
        <v>178</v>
      </c>
      <c r="F234" s="57">
        <f t="shared" si="8"/>
        <v>0</v>
      </c>
      <c r="G234" s="57">
        <v>26.747499999999999</v>
      </c>
      <c r="H234" s="57">
        <v>32.285600000000002</v>
      </c>
      <c r="I234" s="57">
        <v>29.3767</v>
      </c>
      <c r="J234" s="33">
        <f t="shared" si="1"/>
        <v>5.5381000000000036</v>
      </c>
      <c r="K234" s="33">
        <f t="shared" si="2"/>
        <v>2.6292000000000009</v>
      </c>
    </row>
    <row r="235" spans="1:11" x14ac:dyDescent="0.2">
      <c r="A235" s="70">
        <v>44650</v>
      </c>
      <c r="B235" s="57">
        <v>2360</v>
      </c>
      <c r="C235" s="57" t="s">
        <v>173</v>
      </c>
      <c r="D235" s="57" t="s">
        <v>177</v>
      </c>
      <c r="E235" s="57" t="s">
        <v>175</v>
      </c>
      <c r="F235" s="57">
        <f t="shared" si="8"/>
        <v>0</v>
      </c>
      <c r="G235" s="57">
        <v>25.648800000000001</v>
      </c>
      <c r="H235" s="57">
        <v>26.741599999999998</v>
      </c>
      <c r="I235" s="57">
        <v>25.937999999999999</v>
      </c>
      <c r="J235" s="33">
        <f t="shared" si="1"/>
        <v>1.0927999999999969</v>
      </c>
      <c r="K235" s="33">
        <f t="shared" si="2"/>
        <v>0.28919999999999746</v>
      </c>
    </row>
    <row r="236" spans="1:11" x14ac:dyDescent="0.2">
      <c r="A236" s="70">
        <v>44655</v>
      </c>
      <c r="B236" s="57">
        <v>2085</v>
      </c>
      <c r="C236" s="57" t="s">
        <v>173</v>
      </c>
      <c r="D236" s="57" t="s">
        <v>177</v>
      </c>
      <c r="E236" s="57" t="s">
        <v>175</v>
      </c>
      <c r="F236" s="57">
        <f t="shared" si="8"/>
        <v>0</v>
      </c>
      <c r="G236" s="57">
        <v>25.877700000000001</v>
      </c>
      <c r="H236" s="57">
        <v>27.4682</v>
      </c>
      <c r="I236" s="57">
        <v>26.445599999999999</v>
      </c>
      <c r="J236" s="33">
        <f t="shared" si="1"/>
        <v>1.5904999999999987</v>
      </c>
      <c r="K236" s="33">
        <f t="shared" si="2"/>
        <v>0.56789999999999807</v>
      </c>
    </row>
    <row r="237" spans="1:11" x14ac:dyDescent="0.2">
      <c r="A237" s="70">
        <v>44655</v>
      </c>
      <c r="B237" s="57">
        <v>2031</v>
      </c>
      <c r="C237" s="57" t="s">
        <v>60</v>
      </c>
      <c r="D237" s="57" t="s">
        <v>177</v>
      </c>
      <c r="E237" s="57" t="s">
        <v>178</v>
      </c>
      <c r="F237" s="57">
        <f t="shared" si="8"/>
        <v>0</v>
      </c>
      <c r="G237" s="57">
        <v>25.4177</v>
      </c>
      <c r="H237" s="57">
        <v>34.271500000000003</v>
      </c>
      <c r="I237" s="57">
        <v>29.753499999999999</v>
      </c>
      <c r="J237" s="33">
        <f t="shared" si="1"/>
        <v>8.8538000000000032</v>
      </c>
      <c r="K237" s="33">
        <f t="shared" si="2"/>
        <v>4.335799999999999</v>
      </c>
    </row>
    <row r="238" spans="1:11" x14ac:dyDescent="0.2">
      <c r="A238" s="70">
        <v>44650</v>
      </c>
      <c r="B238" s="57">
        <v>2379</v>
      </c>
      <c r="C238" s="57" t="s">
        <v>173</v>
      </c>
      <c r="D238" s="57" t="s">
        <v>177</v>
      </c>
      <c r="E238" s="57" t="s">
        <v>175</v>
      </c>
      <c r="F238" s="57">
        <f t="shared" si="8"/>
        <v>0</v>
      </c>
      <c r="G238" s="57">
        <v>26.259</v>
      </c>
      <c r="H238" s="57">
        <v>27.135000000000002</v>
      </c>
      <c r="I238" s="57">
        <v>26.625499999999999</v>
      </c>
      <c r="J238" s="33">
        <f t="shared" si="1"/>
        <v>0.87600000000000122</v>
      </c>
      <c r="K238" s="33">
        <f t="shared" si="2"/>
        <v>0.36649999999999849</v>
      </c>
    </row>
    <row r="239" spans="1:11" x14ac:dyDescent="0.2">
      <c r="A239" s="70">
        <v>44650</v>
      </c>
      <c r="B239" s="57">
        <v>2382</v>
      </c>
      <c r="C239" s="57" t="s">
        <v>173</v>
      </c>
      <c r="D239" s="57" t="s">
        <v>177</v>
      </c>
      <c r="E239" s="57" t="s">
        <v>178</v>
      </c>
      <c r="F239" s="57">
        <f t="shared" si="8"/>
        <v>0</v>
      </c>
      <c r="G239" s="57">
        <v>26.151700000000002</v>
      </c>
      <c r="H239" s="57">
        <v>35.35</v>
      </c>
      <c r="I239" s="57">
        <v>30.4801</v>
      </c>
      <c r="J239" s="33">
        <f t="shared" si="1"/>
        <v>9.1982999999999997</v>
      </c>
      <c r="K239" s="33">
        <f t="shared" si="2"/>
        <v>4.3283999999999985</v>
      </c>
    </row>
    <row r="240" spans="1:11" x14ac:dyDescent="0.2">
      <c r="A240" s="70">
        <v>44655</v>
      </c>
      <c r="B240" s="57">
        <v>2026</v>
      </c>
      <c r="C240" s="57" t="s">
        <v>173</v>
      </c>
      <c r="D240" s="57" t="s">
        <v>177</v>
      </c>
      <c r="E240" s="57" t="s">
        <v>175</v>
      </c>
      <c r="F240" s="57">
        <f t="shared" si="8"/>
        <v>0</v>
      </c>
      <c r="G240" s="57">
        <v>25.898900000000001</v>
      </c>
      <c r="H240" s="57">
        <v>26.792300000000001</v>
      </c>
      <c r="I240" s="57">
        <v>26.432500000000001</v>
      </c>
      <c r="J240" s="33">
        <f t="shared" si="1"/>
        <v>0.89339999999999975</v>
      </c>
      <c r="K240" s="33">
        <f t="shared" si="2"/>
        <v>0.53359999999999985</v>
      </c>
    </row>
    <row r="241" spans="1:11" x14ac:dyDescent="0.2">
      <c r="A241" s="70">
        <v>44650</v>
      </c>
      <c r="B241" s="57">
        <v>2380</v>
      </c>
      <c r="C241" s="57" t="s">
        <v>173</v>
      </c>
      <c r="D241" s="57" t="s">
        <v>174</v>
      </c>
      <c r="E241" s="57" t="s">
        <v>175</v>
      </c>
      <c r="F241" s="57">
        <f t="shared" si="8"/>
        <v>1</v>
      </c>
      <c r="G241" s="57">
        <v>26.282800000000002</v>
      </c>
      <c r="H241" s="57">
        <v>28.034500000000001</v>
      </c>
      <c r="I241" s="57">
        <v>27.242899999999999</v>
      </c>
      <c r="J241" s="33">
        <f t="shared" si="1"/>
        <v>1.7516999999999996</v>
      </c>
      <c r="K241" s="33">
        <f t="shared" si="2"/>
        <v>0.96009999999999707</v>
      </c>
    </row>
    <row r="242" spans="1:11" x14ac:dyDescent="0.2">
      <c r="A242" s="70">
        <v>44650</v>
      </c>
      <c r="B242" s="57">
        <v>2301</v>
      </c>
      <c r="C242" s="57" t="s">
        <v>173</v>
      </c>
      <c r="D242" s="57" t="s">
        <v>174</v>
      </c>
      <c r="E242" s="57" t="s">
        <v>175</v>
      </c>
      <c r="F242" s="57">
        <f t="shared" si="8"/>
        <v>1</v>
      </c>
      <c r="G242" s="57">
        <v>25.927600000000002</v>
      </c>
      <c r="H242" s="57">
        <v>29.249199999999998</v>
      </c>
      <c r="I242" s="57">
        <v>27.9163</v>
      </c>
      <c r="J242" s="33">
        <f t="shared" si="1"/>
        <v>3.3215999999999966</v>
      </c>
      <c r="K242" s="33">
        <f t="shared" si="2"/>
        <v>1.9886999999999979</v>
      </c>
    </row>
    <row r="243" spans="1:11" x14ac:dyDescent="0.2">
      <c r="A243" s="70">
        <v>44650</v>
      </c>
      <c r="B243" s="57">
        <v>2381</v>
      </c>
      <c r="C243" s="57" t="s">
        <v>173</v>
      </c>
      <c r="D243" s="57" t="s">
        <v>177</v>
      </c>
      <c r="E243" s="57" t="s">
        <v>178</v>
      </c>
      <c r="F243" s="57">
        <f t="shared" si="8"/>
        <v>0</v>
      </c>
      <c r="G243" s="57">
        <v>25.643799999999999</v>
      </c>
      <c r="H243" s="57">
        <v>30.672899999999998</v>
      </c>
      <c r="I243" s="57">
        <v>27.842500000000001</v>
      </c>
      <c r="J243" s="33">
        <f t="shared" si="1"/>
        <v>5.0290999999999997</v>
      </c>
      <c r="K243" s="33">
        <f t="shared" si="2"/>
        <v>2.1987000000000023</v>
      </c>
    </row>
    <row r="244" spans="1:11" x14ac:dyDescent="0.2">
      <c r="A244" s="70">
        <v>44655</v>
      </c>
      <c r="B244" s="57">
        <v>2086</v>
      </c>
      <c r="C244" s="57" t="s">
        <v>176</v>
      </c>
      <c r="D244" s="57" t="s">
        <v>177</v>
      </c>
      <c r="E244" s="57" t="s">
        <v>178</v>
      </c>
      <c r="F244" s="57">
        <f t="shared" si="8"/>
        <v>0</v>
      </c>
      <c r="G244" s="57">
        <v>26.934699999999999</v>
      </c>
      <c r="H244" s="57">
        <v>31.292400000000001</v>
      </c>
      <c r="I244" s="57">
        <v>28.444700000000001</v>
      </c>
      <c r="J244" s="33">
        <f t="shared" si="1"/>
        <v>4.3577000000000012</v>
      </c>
      <c r="K244" s="33">
        <f t="shared" si="2"/>
        <v>1.5100000000000016</v>
      </c>
    </row>
    <row r="245" spans="1:11" x14ac:dyDescent="0.2">
      <c r="A245" s="70">
        <v>44650</v>
      </c>
      <c r="B245" s="57">
        <v>2331</v>
      </c>
      <c r="C245" s="57" t="s">
        <v>173</v>
      </c>
      <c r="D245" s="57" t="s">
        <v>174</v>
      </c>
      <c r="E245" s="57" t="s">
        <v>175</v>
      </c>
      <c r="F245" s="57">
        <f t="shared" si="8"/>
        <v>1</v>
      </c>
      <c r="G245" s="57">
        <v>26.442599999999999</v>
      </c>
      <c r="H245" s="57">
        <v>27.91</v>
      </c>
      <c r="I245" s="57">
        <v>27.2667</v>
      </c>
      <c r="J245" s="33">
        <f t="shared" si="1"/>
        <v>1.4674000000000014</v>
      </c>
      <c r="K245" s="33">
        <f t="shared" si="2"/>
        <v>0.82410000000000139</v>
      </c>
    </row>
    <row r="246" spans="1:11" x14ac:dyDescent="0.2">
      <c r="A246" s="70">
        <v>44650</v>
      </c>
      <c r="B246" s="57">
        <v>2377</v>
      </c>
      <c r="C246" s="57" t="s">
        <v>173</v>
      </c>
      <c r="D246" s="57" t="s">
        <v>174</v>
      </c>
      <c r="E246" s="57" t="s">
        <v>178</v>
      </c>
      <c r="F246" s="57">
        <f t="shared" si="8"/>
        <v>1</v>
      </c>
      <c r="G246" s="57">
        <v>26.257999999999999</v>
      </c>
      <c r="H246" s="57">
        <v>30.126999999999999</v>
      </c>
      <c r="I246" s="57">
        <v>28.772600000000001</v>
      </c>
      <c r="J246" s="33">
        <f t="shared" si="1"/>
        <v>3.8689999999999998</v>
      </c>
      <c r="K246" s="33">
        <f t="shared" si="2"/>
        <v>2.5146000000000015</v>
      </c>
    </row>
    <row r="247" spans="1:11" x14ac:dyDescent="0.2">
      <c r="A247" s="70">
        <v>44650</v>
      </c>
      <c r="B247" s="57">
        <v>2347</v>
      </c>
      <c r="C247" s="57" t="s">
        <v>173</v>
      </c>
      <c r="D247" s="57" t="s">
        <v>174</v>
      </c>
      <c r="E247" s="57" t="s">
        <v>175</v>
      </c>
      <c r="F247" s="57">
        <f t="shared" si="8"/>
        <v>1</v>
      </c>
      <c r="G247" s="57">
        <v>25.4573</v>
      </c>
      <c r="H247" s="57">
        <v>26.243200000000002</v>
      </c>
      <c r="I247" s="57">
        <v>25.898599999999998</v>
      </c>
      <c r="J247" s="33">
        <f t="shared" si="1"/>
        <v>0.7859000000000016</v>
      </c>
      <c r="K247" s="33">
        <f t="shared" si="2"/>
        <v>0.44129999999999825</v>
      </c>
    </row>
    <row r="248" spans="1:11" x14ac:dyDescent="0.2">
      <c r="A248" s="70">
        <v>44655</v>
      </c>
      <c r="B248" s="57">
        <v>2029</v>
      </c>
      <c r="C248" s="57" t="s">
        <v>173</v>
      </c>
      <c r="D248" s="57" t="s">
        <v>174</v>
      </c>
      <c r="E248" s="57" t="s">
        <v>175</v>
      </c>
      <c r="F248" s="57">
        <f t="shared" si="8"/>
        <v>1</v>
      </c>
      <c r="G248" s="57">
        <v>25.6111</v>
      </c>
      <c r="H248" s="57">
        <v>26.862200000000001</v>
      </c>
      <c r="I248" s="57">
        <v>25.968900000000001</v>
      </c>
      <c r="J248" s="33">
        <f t="shared" si="1"/>
        <v>1.251100000000001</v>
      </c>
      <c r="K248" s="33">
        <f t="shared" si="2"/>
        <v>0.35780000000000101</v>
      </c>
    </row>
    <row r="249" spans="1:11" x14ac:dyDescent="0.2">
      <c r="A249" s="70">
        <v>44650</v>
      </c>
      <c r="B249" s="57">
        <v>2378</v>
      </c>
      <c r="C249" s="57" t="s">
        <v>173</v>
      </c>
      <c r="D249" s="57" t="s">
        <v>177</v>
      </c>
      <c r="E249" s="57" t="s">
        <v>175</v>
      </c>
      <c r="F249" s="57">
        <f t="shared" si="8"/>
        <v>0</v>
      </c>
      <c r="G249" s="57">
        <v>26.348199999999999</v>
      </c>
      <c r="H249" s="57">
        <v>26.973600000000001</v>
      </c>
      <c r="I249" s="57">
        <v>26.579699999999999</v>
      </c>
      <c r="J249" s="33">
        <f t="shared" si="1"/>
        <v>0.62540000000000262</v>
      </c>
      <c r="K249" s="33">
        <f t="shared" si="2"/>
        <v>0.23150000000000048</v>
      </c>
    </row>
    <row r="250" spans="1:11" x14ac:dyDescent="0.2">
      <c r="A250" s="70">
        <v>44655</v>
      </c>
      <c r="B250" s="57">
        <v>2085</v>
      </c>
      <c r="C250" s="57" t="s">
        <v>173</v>
      </c>
      <c r="D250" s="57" t="s">
        <v>174</v>
      </c>
      <c r="E250" s="57" t="s">
        <v>175</v>
      </c>
      <c r="F250" s="57">
        <f t="shared" si="8"/>
        <v>1</v>
      </c>
      <c r="G250" s="57">
        <v>26.329799999999999</v>
      </c>
      <c r="H250" s="57">
        <v>29.046399999999998</v>
      </c>
      <c r="I250" s="57">
        <v>27.390999999999998</v>
      </c>
      <c r="J250" s="33">
        <f t="shared" si="1"/>
        <v>2.7165999999999997</v>
      </c>
      <c r="K250" s="33">
        <f t="shared" si="2"/>
        <v>1.0611999999999995</v>
      </c>
    </row>
    <row r="251" spans="1:11" x14ac:dyDescent="0.2">
      <c r="A251" s="70">
        <v>44655</v>
      </c>
      <c r="B251" s="57">
        <v>2023</v>
      </c>
      <c r="C251" s="57" t="s">
        <v>173</v>
      </c>
      <c r="D251" s="57" t="s">
        <v>177</v>
      </c>
      <c r="E251" s="57" t="s">
        <v>178</v>
      </c>
      <c r="F251" s="57">
        <f t="shared" si="8"/>
        <v>0</v>
      </c>
      <c r="G251" s="57">
        <v>26.053799999999999</v>
      </c>
      <c r="H251" s="57">
        <v>31.2959</v>
      </c>
      <c r="I251" s="57">
        <v>28.546399999999998</v>
      </c>
      <c r="J251" s="33">
        <f t="shared" si="1"/>
        <v>5.2421000000000006</v>
      </c>
      <c r="K251" s="33">
        <f t="shared" si="2"/>
        <v>2.4925999999999995</v>
      </c>
    </row>
    <row r="252" spans="1:11" x14ac:dyDescent="0.2">
      <c r="A252" s="70">
        <v>44655</v>
      </c>
      <c r="B252" s="57">
        <v>2015</v>
      </c>
      <c r="C252" s="57" t="s">
        <v>173</v>
      </c>
      <c r="D252" s="57" t="s">
        <v>177</v>
      </c>
      <c r="E252" s="57" t="s">
        <v>175</v>
      </c>
      <c r="F252" s="57">
        <f t="shared" si="8"/>
        <v>0</v>
      </c>
      <c r="G252" s="57">
        <v>25.697800000000001</v>
      </c>
      <c r="H252" s="57">
        <v>27.099900000000002</v>
      </c>
      <c r="I252" s="57">
        <v>26.187000000000001</v>
      </c>
      <c r="J252" s="33">
        <f t="shared" si="1"/>
        <v>1.4021000000000008</v>
      </c>
      <c r="K252" s="33">
        <f t="shared" si="2"/>
        <v>0.4892000000000003</v>
      </c>
    </row>
    <row r="253" spans="1:11" x14ac:dyDescent="0.2">
      <c r="A253" s="70">
        <v>44650</v>
      </c>
      <c r="B253" s="57">
        <v>2010</v>
      </c>
      <c r="C253" s="57" t="s">
        <v>173</v>
      </c>
      <c r="D253" s="57" t="s">
        <v>177</v>
      </c>
      <c r="E253" s="57" t="s">
        <v>178</v>
      </c>
      <c r="F253" s="57">
        <f t="shared" si="8"/>
        <v>0</v>
      </c>
      <c r="G253" s="57">
        <v>25.5471</v>
      </c>
      <c r="H253" s="57">
        <v>31.465399999999999</v>
      </c>
      <c r="I253" s="57">
        <v>27.984300000000001</v>
      </c>
      <c r="J253" s="33">
        <f t="shared" si="1"/>
        <v>5.9182999999999986</v>
      </c>
      <c r="K253" s="33">
        <f t="shared" si="2"/>
        <v>2.4372000000000007</v>
      </c>
    </row>
    <row r="254" spans="1:11" x14ac:dyDescent="0.2">
      <c r="A254" s="70">
        <v>44655</v>
      </c>
      <c r="B254" s="57">
        <v>2086</v>
      </c>
      <c r="C254" s="57" t="s">
        <v>176</v>
      </c>
      <c r="D254" s="57" t="s">
        <v>174</v>
      </c>
      <c r="E254" s="57" t="s">
        <v>175</v>
      </c>
      <c r="F254" s="57">
        <f t="shared" si="8"/>
        <v>1</v>
      </c>
      <c r="G254" s="57">
        <v>25.403099999999998</v>
      </c>
      <c r="H254" s="57">
        <v>26.915199999999999</v>
      </c>
      <c r="I254" s="57">
        <v>25.869599999999998</v>
      </c>
      <c r="J254" s="33">
        <f t="shared" si="1"/>
        <v>1.5121000000000002</v>
      </c>
      <c r="K254" s="33">
        <f t="shared" si="2"/>
        <v>0.46649999999999991</v>
      </c>
    </row>
    <row r="255" spans="1:11" x14ac:dyDescent="0.2">
      <c r="A255" s="70">
        <v>44650</v>
      </c>
      <c r="B255" s="57">
        <v>2378</v>
      </c>
      <c r="C255" s="57" t="s">
        <v>173</v>
      </c>
      <c r="D255" s="57" t="s">
        <v>177</v>
      </c>
      <c r="E255" s="57" t="s">
        <v>178</v>
      </c>
      <c r="F255" s="57">
        <f t="shared" si="8"/>
        <v>0</v>
      </c>
      <c r="G255" s="57">
        <v>26.703600000000002</v>
      </c>
      <c r="H255" s="57">
        <v>32.720199999999998</v>
      </c>
      <c r="I255" s="57">
        <v>29.598800000000001</v>
      </c>
      <c r="J255" s="33">
        <f t="shared" si="1"/>
        <v>6.0165999999999968</v>
      </c>
      <c r="K255" s="33">
        <f t="shared" si="2"/>
        <v>2.8951999999999991</v>
      </c>
    </row>
    <row r="256" spans="1:11" x14ac:dyDescent="0.2">
      <c r="A256" s="70">
        <v>44650</v>
      </c>
      <c r="B256" s="57">
        <v>2383</v>
      </c>
      <c r="C256" s="57" t="s">
        <v>173</v>
      </c>
      <c r="D256" s="57" t="s">
        <v>177</v>
      </c>
      <c r="E256" s="57" t="s">
        <v>175</v>
      </c>
      <c r="F256" s="57">
        <f t="shared" si="8"/>
        <v>0</v>
      </c>
      <c r="G256" s="57">
        <v>25.881699999999999</v>
      </c>
      <c r="H256" s="57">
        <v>26.640999999999998</v>
      </c>
      <c r="I256" s="57">
        <v>26.174199999999999</v>
      </c>
      <c r="J256" s="33">
        <f t="shared" si="1"/>
        <v>0.75929999999999964</v>
      </c>
      <c r="K256" s="33">
        <f t="shared" si="2"/>
        <v>0.29250000000000043</v>
      </c>
    </row>
    <row r="257" spans="1:11" x14ac:dyDescent="0.2">
      <c r="A257" s="70">
        <v>44655</v>
      </c>
      <c r="B257" s="57">
        <v>2005</v>
      </c>
      <c r="C257" s="57" t="s">
        <v>173</v>
      </c>
      <c r="D257" s="57" t="s">
        <v>177</v>
      </c>
      <c r="E257" s="57" t="s">
        <v>175</v>
      </c>
      <c r="F257" s="57">
        <f t="shared" si="8"/>
        <v>0</v>
      </c>
      <c r="G257" s="57">
        <v>25.824200000000001</v>
      </c>
      <c r="H257" s="57">
        <v>26.637799999999999</v>
      </c>
      <c r="I257" s="57">
        <v>26.299499999999998</v>
      </c>
      <c r="J257" s="33">
        <f t="shared" ref="J257:J511" si="9">H257-G257</f>
        <v>0.81359999999999744</v>
      </c>
      <c r="K257" s="33">
        <f t="shared" ref="K257:K511" si="10">I257-G257</f>
        <v>0.47529999999999717</v>
      </c>
    </row>
    <row r="258" spans="1:11" x14ac:dyDescent="0.2">
      <c r="A258" s="70">
        <v>44655</v>
      </c>
      <c r="B258" s="57">
        <v>1478</v>
      </c>
      <c r="C258" s="57" t="s">
        <v>173</v>
      </c>
      <c r="D258" s="57" t="s">
        <v>177</v>
      </c>
      <c r="E258" s="57" t="s">
        <v>178</v>
      </c>
      <c r="F258" s="57">
        <f t="shared" si="8"/>
        <v>0</v>
      </c>
      <c r="G258" s="57">
        <v>26.4725</v>
      </c>
      <c r="H258" s="57">
        <v>31.220800000000001</v>
      </c>
      <c r="I258" s="57">
        <v>28.197199999999999</v>
      </c>
      <c r="J258" s="33">
        <f t="shared" si="9"/>
        <v>4.7483000000000004</v>
      </c>
      <c r="K258" s="33">
        <f t="shared" si="10"/>
        <v>1.7246999999999986</v>
      </c>
    </row>
    <row r="259" spans="1:11" x14ac:dyDescent="0.2">
      <c r="A259" s="70">
        <v>44650</v>
      </c>
      <c r="B259" s="57">
        <v>2380</v>
      </c>
      <c r="C259" s="57" t="s">
        <v>173</v>
      </c>
      <c r="D259" s="57" t="s">
        <v>177</v>
      </c>
      <c r="E259" s="57" t="s">
        <v>175</v>
      </c>
      <c r="F259" s="57">
        <f t="shared" si="8"/>
        <v>0</v>
      </c>
      <c r="G259" s="57">
        <v>25.6021</v>
      </c>
      <c r="H259" s="57">
        <v>26.0319</v>
      </c>
      <c r="I259" s="57">
        <v>25.606300000000001</v>
      </c>
      <c r="J259" s="33">
        <f t="shared" si="9"/>
        <v>0.42980000000000018</v>
      </c>
      <c r="K259" s="33">
        <f t="shared" si="10"/>
        <v>4.2000000000008697E-3</v>
      </c>
    </row>
    <row r="260" spans="1:11" x14ac:dyDescent="0.2">
      <c r="A260" s="70">
        <v>44655</v>
      </c>
      <c r="B260" s="57">
        <v>2090</v>
      </c>
      <c r="C260" s="57" t="s">
        <v>173</v>
      </c>
      <c r="D260" s="57" t="s">
        <v>177</v>
      </c>
      <c r="E260" s="57" t="s">
        <v>178</v>
      </c>
      <c r="F260" s="57">
        <f t="shared" si="8"/>
        <v>0</v>
      </c>
      <c r="G260" s="57">
        <v>26.173100000000002</v>
      </c>
      <c r="H260" s="57">
        <v>31.537800000000001</v>
      </c>
      <c r="I260" s="57">
        <v>28.302800000000001</v>
      </c>
      <c r="J260" s="33">
        <f t="shared" si="9"/>
        <v>5.3646999999999991</v>
      </c>
      <c r="K260" s="33">
        <f t="shared" si="10"/>
        <v>2.1296999999999997</v>
      </c>
    </row>
    <row r="261" spans="1:11" x14ac:dyDescent="0.2">
      <c r="A261" s="70">
        <v>44655</v>
      </c>
      <c r="B261" s="57">
        <v>2091</v>
      </c>
      <c r="C261" s="57" t="s">
        <v>173</v>
      </c>
      <c r="D261" s="57" t="s">
        <v>174</v>
      </c>
      <c r="E261" s="57" t="s">
        <v>178</v>
      </c>
      <c r="F261" s="57">
        <f t="shared" si="8"/>
        <v>1</v>
      </c>
      <c r="G261" s="57">
        <v>26.341699999999999</v>
      </c>
      <c r="H261" s="57">
        <v>32.492699999999999</v>
      </c>
      <c r="I261" s="57">
        <v>29.775400000000001</v>
      </c>
      <c r="J261" s="33">
        <f t="shared" si="9"/>
        <v>6.1509999999999998</v>
      </c>
      <c r="K261" s="33">
        <f t="shared" si="10"/>
        <v>3.4337000000000018</v>
      </c>
    </row>
    <row r="262" spans="1:11" x14ac:dyDescent="0.2">
      <c r="A262" s="70">
        <v>44655</v>
      </c>
      <c r="B262" s="57">
        <v>2028</v>
      </c>
      <c r="C262" s="57" t="s">
        <v>173</v>
      </c>
      <c r="D262" s="57" t="s">
        <v>177</v>
      </c>
      <c r="E262" s="57" t="s">
        <v>178</v>
      </c>
      <c r="F262" s="57">
        <f t="shared" si="8"/>
        <v>0</v>
      </c>
      <c r="G262" s="57">
        <v>25.7088</v>
      </c>
      <c r="H262" s="57">
        <v>33.522199999999998</v>
      </c>
      <c r="I262" s="57">
        <v>29.496400000000001</v>
      </c>
      <c r="J262" s="33">
        <f t="shared" si="9"/>
        <v>7.8133999999999979</v>
      </c>
      <c r="K262" s="33">
        <f t="shared" si="10"/>
        <v>3.7876000000000012</v>
      </c>
    </row>
    <row r="263" spans="1:11" x14ac:dyDescent="0.2">
      <c r="A263" s="70">
        <v>44655</v>
      </c>
      <c r="B263" s="57">
        <v>2025</v>
      </c>
      <c r="C263" s="57" t="s">
        <v>173</v>
      </c>
      <c r="D263" s="57" t="s">
        <v>174</v>
      </c>
      <c r="E263" s="57" t="s">
        <v>175</v>
      </c>
      <c r="F263" s="57">
        <f t="shared" si="8"/>
        <v>1</v>
      </c>
      <c r="G263" s="57">
        <v>25.854900000000001</v>
      </c>
      <c r="H263" s="57">
        <v>26.596599999999999</v>
      </c>
      <c r="I263" s="57">
        <v>26.283999999999999</v>
      </c>
      <c r="J263" s="33">
        <f t="shared" si="9"/>
        <v>0.74169999999999803</v>
      </c>
      <c r="K263" s="33">
        <f t="shared" si="10"/>
        <v>0.42909999999999826</v>
      </c>
    </row>
    <row r="264" spans="1:11" x14ac:dyDescent="0.2">
      <c r="A264" s="70">
        <v>44655</v>
      </c>
      <c r="B264" s="57">
        <v>2008</v>
      </c>
      <c r="C264" s="57" t="s">
        <v>173</v>
      </c>
      <c r="D264" s="57" t="s">
        <v>177</v>
      </c>
      <c r="E264" s="57" t="s">
        <v>175</v>
      </c>
      <c r="F264" s="57">
        <f t="shared" si="8"/>
        <v>0</v>
      </c>
      <c r="G264" s="57">
        <v>26.054099999999998</v>
      </c>
      <c r="H264" s="57">
        <v>26.7667</v>
      </c>
      <c r="I264" s="57">
        <v>26.2666</v>
      </c>
      <c r="J264" s="33">
        <f t="shared" si="9"/>
        <v>0.7126000000000019</v>
      </c>
      <c r="K264" s="33">
        <f t="shared" si="10"/>
        <v>0.21250000000000213</v>
      </c>
    </row>
    <row r="265" spans="1:11" x14ac:dyDescent="0.2">
      <c r="A265" s="70">
        <v>44655</v>
      </c>
      <c r="B265" s="57">
        <v>2021</v>
      </c>
      <c r="C265" s="57" t="s">
        <v>173</v>
      </c>
      <c r="D265" s="57" t="s">
        <v>174</v>
      </c>
      <c r="E265" s="57" t="s">
        <v>175</v>
      </c>
      <c r="F265" s="57">
        <f t="shared" si="8"/>
        <v>1</v>
      </c>
      <c r="G265" s="57">
        <v>26.330500000000001</v>
      </c>
      <c r="H265" s="57">
        <v>27.905899999999999</v>
      </c>
      <c r="I265" s="57">
        <v>27.0318</v>
      </c>
      <c r="J265" s="33">
        <f t="shared" si="9"/>
        <v>1.5753999999999984</v>
      </c>
      <c r="K265" s="33">
        <f t="shared" si="10"/>
        <v>0.70129999999999981</v>
      </c>
    </row>
    <row r="266" spans="1:11" x14ac:dyDescent="0.2">
      <c r="A266" s="70">
        <v>44650</v>
      </c>
      <c r="B266" s="57">
        <v>2384</v>
      </c>
      <c r="C266" s="57" t="s">
        <v>173</v>
      </c>
      <c r="D266" s="57" t="s">
        <v>174</v>
      </c>
      <c r="E266" s="57" t="s">
        <v>175</v>
      </c>
      <c r="F266" s="57">
        <f t="shared" si="8"/>
        <v>1</v>
      </c>
      <c r="G266" s="57">
        <v>26.3141</v>
      </c>
      <c r="H266" s="57">
        <v>26.952300000000001</v>
      </c>
      <c r="I266" s="57">
        <v>26.832699999999999</v>
      </c>
      <c r="J266" s="33">
        <f t="shared" si="9"/>
        <v>0.63820000000000121</v>
      </c>
      <c r="K266" s="33">
        <f t="shared" si="10"/>
        <v>0.51859999999999928</v>
      </c>
    </row>
    <row r="267" spans="1:11" x14ac:dyDescent="0.2">
      <c r="A267" s="70">
        <v>44650</v>
      </c>
      <c r="B267" s="57">
        <v>2345</v>
      </c>
      <c r="C267" s="57" t="s">
        <v>173</v>
      </c>
      <c r="D267" s="57" t="s">
        <v>177</v>
      </c>
      <c r="E267" s="57" t="s">
        <v>178</v>
      </c>
      <c r="F267" s="57">
        <f t="shared" si="8"/>
        <v>0</v>
      </c>
      <c r="G267" s="57">
        <v>26.251899999999999</v>
      </c>
      <c r="H267" s="57">
        <v>26.288499999999999</v>
      </c>
      <c r="I267" s="57">
        <v>26.267399999999999</v>
      </c>
      <c r="J267" s="33">
        <f t="shared" si="9"/>
        <v>3.6599999999999966E-2</v>
      </c>
      <c r="K267" s="33">
        <f t="shared" si="10"/>
        <v>1.5499999999999403E-2</v>
      </c>
    </row>
    <row r="268" spans="1:11" x14ac:dyDescent="0.2">
      <c r="A268" s="70">
        <v>44650</v>
      </c>
      <c r="B268" s="57">
        <v>2369</v>
      </c>
      <c r="C268" s="57" t="s">
        <v>173</v>
      </c>
      <c r="D268" s="57" t="s">
        <v>177</v>
      </c>
      <c r="E268" s="57" t="s">
        <v>175</v>
      </c>
      <c r="F268" s="57">
        <f t="shared" si="8"/>
        <v>0</v>
      </c>
      <c r="G268" s="57">
        <v>26.081099999999999</v>
      </c>
      <c r="H268" s="57">
        <v>26.5731</v>
      </c>
      <c r="I268" s="57">
        <v>26.258400000000002</v>
      </c>
      <c r="J268" s="33">
        <f t="shared" si="9"/>
        <v>0.49200000000000088</v>
      </c>
      <c r="K268" s="33">
        <f t="shared" si="10"/>
        <v>0.17730000000000246</v>
      </c>
    </row>
    <row r="269" spans="1:11" x14ac:dyDescent="0.2">
      <c r="A269" s="70">
        <v>44655</v>
      </c>
      <c r="B269" s="57">
        <v>2015</v>
      </c>
      <c r="C269" s="57" t="s">
        <v>176</v>
      </c>
      <c r="D269" s="57" t="s">
        <v>174</v>
      </c>
      <c r="E269" s="57" t="s">
        <v>175</v>
      </c>
      <c r="F269" s="57">
        <f t="shared" si="8"/>
        <v>1</v>
      </c>
      <c r="G269" s="57">
        <v>26.409400000000002</v>
      </c>
      <c r="H269" s="57">
        <v>27.026800000000001</v>
      </c>
      <c r="I269" s="57">
        <v>26.879200000000001</v>
      </c>
      <c r="J269" s="33">
        <f t="shared" si="9"/>
        <v>0.61739999999999995</v>
      </c>
      <c r="K269" s="33">
        <f t="shared" si="10"/>
        <v>0.46979999999999933</v>
      </c>
    </row>
    <row r="270" spans="1:11" x14ac:dyDescent="0.2">
      <c r="A270" s="70">
        <v>44650</v>
      </c>
      <c r="B270" s="57">
        <v>2331</v>
      </c>
      <c r="C270" s="57" t="s">
        <v>173</v>
      </c>
      <c r="D270" s="57" t="s">
        <v>174</v>
      </c>
      <c r="E270" s="57" t="s">
        <v>178</v>
      </c>
      <c r="F270" s="57">
        <f t="shared" si="8"/>
        <v>1</v>
      </c>
      <c r="G270" s="57">
        <v>26.220199999999998</v>
      </c>
      <c r="H270" s="57">
        <v>33.578899999999997</v>
      </c>
      <c r="I270" s="57">
        <v>30.182400000000001</v>
      </c>
      <c r="J270" s="33">
        <f t="shared" si="9"/>
        <v>7.3586999999999989</v>
      </c>
      <c r="K270" s="33">
        <f t="shared" si="10"/>
        <v>3.9622000000000028</v>
      </c>
    </row>
    <row r="271" spans="1:11" x14ac:dyDescent="0.2">
      <c r="A271" s="70">
        <v>44650</v>
      </c>
      <c r="B271" s="57">
        <v>2010</v>
      </c>
      <c r="C271" s="57" t="s">
        <v>173</v>
      </c>
      <c r="D271" s="57" t="s">
        <v>177</v>
      </c>
      <c r="E271" s="57" t="s">
        <v>175</v>
      </c>
      <c r="F271" s="57">
        <f t="shared" si="8"/>
        <v>0</v>
      </c>
      <c r="G271" s="57">
        <v>25.98</v>
      </c>
      <c r="H271" s="57">
        <v>26.726099999999999</v>
      </c>
      <c r="I271" s="57">
        <v>26.223600000000001</v>
      </c>
      <c r="J271" s="33">
        <f t="shared" si="9"/>
        <v>0.74609999999999843</v>
      </c>
      <c r="K271" s="33">
        <f t="shared" si="10"/>
        <v>0.2436000000000007</v>
      </c>
    </row>
    <row r="272" spans="1:11" x14ac:dyDescent="0.2">
      <c r="A272" s="70">
        <v>44650</v>
      </c>
      <c r="B272" s="57">
        <v>2383</v>
      </c>
      <c r="C272" s="57" t="s">
        <v>173</v>
      </c>
      <c r="D272" s="57" t="s">
        <v>174</v>
      </c>
      <c r="E272" s="57" t="s">
        <v>175</v>
      </c>
      <c r="F272" s="57">
        <f t="shared" si="8"/>
        <v>1</v>
      </c>
      <c r="G272" s="57">
        <v>25.745899999999999</v>
      </c>
      <c r="H272" s="57">
        <v>27.412400000000002</v>
      </c>
      <c r="I272" s="57">
        <v>26.360299999999999</v>
      </c>
      <c r="J272" s="33">
        <f t="shared" si="9"/>
        <v>1.6665000000000028</v>
      </c>
      <c r="K272" s="33">
        <f t="shared" si="10"/>
        <v>0.61439999999999984</v>
      </c>
    </row>
    <row r="273" spans="1:11" x14ac:dyDescent="0.2">
      <c r="A273" s="70">
        <v>44650</v>
      </c>
      <c r="B273" s="57">
        <v>2360</v>
      </c>
      <c r="C273" s="57" t="s">
        <v>173</v>
      </c>
      <c r="D273" s="57" t="s">
        <v>177</v>
      </c>
      <c r="E273" s="57" t="s">
        <v>178</v>
      </c>
      <c r="F273" s="57">
        <f t="shared" si="8"/>
        <v>0</v>
      </c>
      <c r="G273" s="57">
        <v>25.923400000000001</v>
      </c>
      <c r="H273" s="57">
        <v>31.650600000000001</v>
      </c>
      <c r="I273" s="57">
        <v>28.580400000000001</v>
      </c>
      <c r="J273" s="33">
        <f t="shared" si="9"/>
        <v>5.7271999999999998</v>
      </c>
      <c r="K273" s="33">
        <f t="shared" si="10"/>
        <v>2.657</v>
      </c>
    </row>
    <row r="274" spans="1:11" x14ac:dyDescent="0.2">
      <c r="A274" s="70">
        <v>44655</v>
      </c>
      <c r="B274" s="57">
        <v>2088</v>
      </c>
      <c r="C274" s="57" t="s">
        <v>176</v>
      </c>
      <c r="D274" s="57" t="s">
        <v>174</v>
      </c>
      <c r="E274" s="57" t="s">
        <v>175</v>
      </c>
      <c r="F274" s="57">
        <f t="shared" si="8"/>
        <v>1</v>
      </c>
      <c r="G274" s="57">
        <v>15.396100000000001</v>
      </c>
      <c r="H274" s="57">
        <v>17.3795</v>
      </c>
      <c r="I274" s="57">
        <v>16.1952</v>
      </c>
      <c r="J274" s="33">
        <f t="shared" si="9"/>
        <v>1.9833999999999996</v>
      </c>
      <c r="K274" s="33">
        <f t="shared" si="10"/>
        <v>0.79909999999999926</v>
      </c>
    </row>
    <row r="275" spans="1:11" x14ac:dyDescent="0.2">
      <c r="A275" s="70">
        <v>44655</v>
      </c>
      <c r="B275" s="57">
        <v>2008</v>
      </c>
      <c r="C275" s="57" t="s">
        <v>173</v>
      </c>
      <c r="D275" s="57" t="s">
        <v>177</v>
      </c>
      <c r="E275" s="57" t="s">
        <v>178</v>
      </c>
      <c r="F275" s="57">
        <f t="shared" si="8"/>
        <v>0</v>
      </c>
      <c r="G275" s="57">
        <v>26.7896</v>
      </c>
      <c r="H275" s="57">
        <v>34.6008</v>
      </c>
      <c r="I275" s="57">
        <v>30.702000000000002</v>
      </c>
      <c r="J275" s="33">
        <f t="shared" si="9"/>
        <v>7.8111999999999995</v>
      </c>
      <c r="K275" s="33">
        <f t="shared" si="10"/>
        <v>3.9124000000000017</v>
      </c>
    </row>
    <row r="276" spans="1:11" x14ac:dyDescent="0.2">
      <c r="A276" s="70">
        <v>44655</v>
      </c>
      <c r="B276" s="57">
        <v>2013</v>
      </c>
      <c r="C276" s="57" t="s">
        <v>173</v>
      </c>
      <c r="D276" s="57" t="s">
        <v>177</v>
      </c>
      <c r="E276" s="57" t="s">
        <v>175</v>
      </c>
      <c r="F276" s="57">
        <f t="shared" si="8"/>
        <v>0</v>
      </c>
      <c r="G276" s="57">
        <v>26.355</v>
      </c>
      <c r="H276" s="57">
        <v>26.973099999999999</v>
      </c>
      <c r="I276" s="57">
        <v>26.561900000000001</v>
      </c>
      <c r="J276" s="33">
        <f t="shared" si="9"/>
        <v>0.61809999999999832</v>
      </c>
      <c r="K276" s="33">
        <f t="shared" si="10"/>
        <v>0.20690000000000097</v>
      </c>
    </row>
    <row r="277" spans="1:11" x14ac:dyDescent="0.2">
      <c r="A277" s="70">
        <v>44655</v>
      </c>
      <c r="B277" s="57">
        <v>2004</v>
      </c>
      <c r="C277" s="57" t="s">
        <v>173</v>
      </c>
      <c r="D277" s="57" t="s">
        <v>177</v>
      </c>
      <c r="E277" s="57" t="s">
        <v>178</v>
      </c>
      <c r="F277" s="57">
        <f t="shared" si="8"/>
        <v>0</v>
      </c>
      <c r="G277" s="57">
        <v>26.697099999999999</v>
      </c>
      <c r="H277" s="57">
        <v>34.189900000000002</v>
      </c>
      <c r="I277" s="57">
        <v>30.132200000000001</v>
      </c>
      <c r="J277" s="33">
        <f t="shared" si="9"/>
        <v>7.4928000000000026</v>
      </c>
      <c r="K277" s="33">
        <f t="shared" si="10"/>
        <v>3.435100000000002</v>
      </c>
    </row>
    <row r="278" spans="1:11" x14ac:dyDescent="0.2">
      <c r="A278" s="70">
        <v>44650</v>
      </c>
      <c r="B278" s="57">
        <v>2376</v>
      </c>
      <c r="C278" s="57" t="s">
        <v>173</v>
      </c>
      <c r="D278" s="57" t="s">
        <v>174</v>
      </c>
      <c r="E278" s="57" t="s">
        <v>175</v>
      </c>
      <c r="F278" s="57">
        <f t="shared" si="8"/>
        <v>1</v>
      </c>
      <c r="G278" s="57">
        <v>26.0548</v>
      </c>
      <c r="H278" s="57">
        <v>27.4084</v>
      </c>
      <c r="I278" s="57">
        <v>26.5901</v>
      </c>
      <c r="J278" s="33">
        <f t="shared" si="9"/>
        <v>1.3536000000000001</v>
      </c>
      <c r="K278" s="33">
        <f t="shared" si="10"/>
        <v>0.53529999999999944</v>
      </c>
    </row>
    <row r="279" spans="1:11" x14ac:dyDescent="0.2">
      <c r="A279" s="70">
        <v>44650</v>
      </c>
      <c r="B279" s="57">
        <v>2346</v>
      </c>
      <c r="C279" s="57" t="s">
        <v>173</v>
      </c>
      <c r="D279" s="57" t="s">
        <v>177</v>
      </c>
      <c r="E279" s="57" t="s">
        <v>175</v>
      </c>
      <c r="F279" s="57">
        <f t="shared" si="8"/>
        <v>0</v>
      </c>
      <c r="G279" s="57">
        <v>25.849399999999999</v>
      </c>
      <c r="H279" s="57">
        <v>25.556100000000001</v>
      </c>
      <c r="I279" s="57">
        <v>25.9071</v>
      </c>
      <c r="J279" s="33">
        <f t="shared" si="9"/>
        <v>-0.29329999999999856</v>
      </c>
      <c r="K279" s="33">
        <f t="shared" si="10"/>
        <v>5.7700000000000529E-2</v>
      </c>
    </row>
    <row r="280" spans="1:11" x14ac:dyDescent="0.2">
      <c r="A280" s="70">
        <v>44650</v>
      </c>
      <c r="B280" s="57">
        <v>2346</v>
      </c>
      <c r="C280" s="57" t="s">
        <v>173</v>
      </c>
      <c r="D280" s="57" t="s">
        <v>174</v>
      </c>
      <c r="E280" s="57" t="s">
        <v>178</v>
      </c>
      <c r="F280" s="57">
        <f t="shared" si="8"/>
        <v>1</v>
      </c>
      <c r="G280" s="57">
        <v>25.723299999999998</v>
      </c>
      <c r="H280" s="57">
        <v>26.172599999999999</v>
      </c>
      <c r="I280" s="57">
        <v>25.9465</v>
      </c>
      <c r="J280" s="33">
        <f t="shared" si="9"/>
        <v>0.44930000000000092</v>
      </c>
      <c r="K280" s="33">
        <f t="shared" si="10"/>
        <v>0.22320000000000206</v>
      </c>
    </row>
    <row r="281" spans="1:11" x14ac:dyDescent="0.2">
      <c r="A281" s="70">
        <v>44655</v>
      </c>
      <c r="B281" s="57">
        <v>2093</v>
      </c>
      <c r="C281" s="57" t="s">
        <v>173</v>
      </c>
      <c r="D281" s="57" t="s">
        <v>174</v>
      </c>
      <c r="E281" s="57" t="s">
        <v>178</v>
      </c>
      <c r="F281" s="57">
        <f t="shared" si="8"/>
        <v>1</v>
      </c>
      <c r="G281" s="57">
        <v>26.343299999999999</v>
      </c>
      <c r="H281" s="57">
        <v>31.083500000000001</v>
      </c>
      <c r="I281" s="57">
        <v>29.098800000000001</v>
      </c>
      <c r="J281" s="33">
        <f t="shared" si="9"/>
        <v>4.7402000000000015</v>
      </c>
      <c r="K281" s="33">
        <f t="shared" si="10"/>
        <v>2.7555000000000014</v>
      </c>
    </row>
    <row r="282" spans="1:11" x14ac:dyDescent="0.2">
      <c r="A282" s="70">
        <v>44655</v>
      </c>
      <c r="B282" s="57">
        <v>2091</v>
      </c>
      <c r="C282" s="57" t="s">
        <v>173</v>
      </c>
      <c r="D282" s="57" t="s">
        <v>174</v>
      </c>
      <c r="E282" s="57" t="s">
        <v>175</v>
      </c>
      <c r="F282" s="57">
        <f t="shared" si="8"/>
        <v>1</v>
      </c>
      <c r="G282" s="57">
        <v>25.920500000000001</v>
      </c>
      <c r="H282" s="57">
        <v>27.571000000000002</v>
      </c>
      <c r="I282" s="57">
        <v>26.5655</v>
      </c>
      <c r="J282" s="33">
        <f t="shared" si="9"/>
        <v>1.650500000000001</v>
      </c>
      <c r="K282" s="33">
        <f t="shared" si="10"/>
        <v>0.64499999999999957</v>
      </c>
    </row>
    <row r="283" spans="1:11" x14ac:dyDescent="0.2">
      <c r="A283" s="70">
        <v>44655</v>
      </c>
      <c r="B283" s="57">
        <v>2031</v>
      </c>
      <c r="C283" s="57" t="s">
        <v>60</v>
      </c>
      <c r="D283" s="57" t="s">
        <v>177</v>
      </c>
      <c r="E283" s="57" t="s">
        <v>178</v>
      </c>
      <c r="F283" s="57">
        <f t="shared" si="8"/>
        <v>0</v>
      </c>
      <c r="G283" s="57">
        <v>15.520200000000001</v>
      </c>
      <c r="H283" s="57">
        <v>15.8781</v>
      </c>
      <c r="I283" s="57">
        <v>15.8775</v>
      </c>
      <c r="J283" s="33">
        <f t="shared" si="9"/>
        <v>0.357899999999999</v>
      </c>
      <c r="K283" s="33">
        <f t="shared" si="10"/>
        <v>0.35729999999999862</v>
      </c>
    </row>
    <row r="284" spans="1:11" x14ac:dyDescent="0.2">
      <c r="A284" s="70">
        <v>44650</v>
      </c>
      <c r="B284" s="57">
        <v>2346</v>
      </c>
      <c r="C284" s="57" t="s">
        <v>173</v>
      </c>
      <c r="D284" s="57" t="s">
        <v>174</v>
      </c>
      <c r="E284" s="57" t="s">
        <v>175</v>
      </c>
      <c r="F284" s="57">
        <f t="shared" si="8"/>
        <v>1</v>
      </c>
      <c r="G284" s="57">
        <v>26.5944</v>
      </c>
      <c r="H284" s="57">
        <v>27.475999999999999</v>
      </c>
      <c r="I284" s="57">
        <v>27.261099999999999</v>
      </c>
      <c r="J284" s="33">
        <f t="shared" si="9"/>
        <v>0.88159999999999883</v>
      </c>
      <c r="K284" s="33">
        <f t="shared" si="10"/>
        <v>0.66669999999999874</v>
      </c>
    </row>
    <row r="285" spans="1:11" x14ac:dyDescent="0.2">
      <c r="A285" s="70">
        <v>44650</v>
      </c>
      <c r="B285" s="57">
        <v>2010</v>
      </c>
      <c r="C285" s="57" t="s">
        <v>173</v>
      </c>
      <c r="D285" s="57" t="s">
        <v>174</v>
      </c>
      <c r="E285" s="57" t="s">
        <v>175</v>
      </c>
      <c r="F285" s="57">
        <f t="shared" si="8"/>
        <v>1</v>
      </c>
      <c r="G285" s="57">
        <v>25.948599999999999</v>
      </c>
      <c r="H285" s="57">
        <v>26.419</v>
      </c>
      <c r="I285" s="57">
        <v>26.135000000000002</v>
      </c>
      <c r="J285" s="33">
        <f t="shared" si="9"/>
        <v>0.47040000000000148</v>
      </c>
      <c r="K285" s="33">
        <f t="shared" si="10"/>
        <v>0.18640000000000256</v>
      </c>
    </row>
    <row r="286" spans="1:11" x14ac:dyDescent="0.2">
      <c r="A286" s="70">
        <v>44655</v>
      </c>
      <c r="B286" s="57">
        <v>2013</v>
      </c>
      <c r="C286" s="57" t="s">
        <v>173</v>
      </c>
      <c r="D286" s="57" t="s">
        <v>177</v>
      </c>
      <c r="E286" s="57" t="s">
        <v>178</v>
      </c>
      <c r="F286" s="57">
        <f t="shared" si="8"/>
        <v>0</v>
      </c>
      <c r="G286" s="57">
        <v>26.4542</v>
      </c>
      <c r="H286" s="57">
        <v>29.443899999999999</v>
      </c>
      <c r="I286" s="57">
        <v>27.459299999999999</v>
      </c>
      <c r="J286" s="33">
        <f t="shared" si="9"/>
        <v>2.9896999999999991</v>
      </c>
      <c r="K286" s="33">
        <f t="shared" si="10"/>
        <v>1.0050999999999988</v>
      </c>
    </row>
    <row r="287" spans="1:11" x14ac:dyDescent="0.2">
      <c r="A287" s="70">
        <v>44655</v>
      </c>
      <c r="B287" s="57">
        <v>2092</v>
      </c>
      <c r="C287" s="57" t="s">
        <v>173</v>
      </c>
      <c r="D287" s="57" t="s">
        <v>177</v>
      </c>
      <c r="E287" s="57" t="s">
        <v>175</v>
      </c>
      <c r="F287" s="57">
        <f t="shared" si="8"/>
        <v>0</v>
      </c>
      <c r="G287" s="57">
        <v>25.179600000000001</v>
      </c>
      <c r="H287" s="57">
        <v>25.418500000000002</v>
      </c>
      <c r="I287" s="57">
        <v>25.247900000000001</v>
      </c>
      <c r="J287" s="33">
        <f t="shared" si="9"/>
        <v>0.238900000000001</v>
      </c>
      <c r="K287" s="33">
        <f t="shared" si="10"/>
        <v>6.8300000000000693E-2</v>
      </c>
    </row>
    <row r="288" spans="1:11" x14ac:dyDescent="0.2">
      <c r="A288" s="70">
        <v>44655</v>
      </c>
      <c r="B288" s="57">
        <v>2026</v>
      </c>
      <c r="C288" s="57" t="s">
        <v>173</v>
      </c>
      <c r="D288" s="57" t="s">
        <v>177</v>
      </c>
      <c r="E288" s="57" t="s">
        <v>178</v>
      </c>
      <c r="F288" s="57">
        <f t="shared" si="8"/>
        <v>0</v>
      </c>
      <c r="G288" s="57">
        <v>25.7074</v>
      </c>
      <c r="H288" s="57">
        <v>27.959299999999999</v>
      </c>
      <c r="I288" s="57">
        <v>26.759</v>
      </c>
      <c r="J288" s="33">
        <f t="shared" si="9"/>
        <v>2.2518999999999991</v>
      </c>
      <c r="K288" s="33">
        <f t="shared" si="10"/>
        <v>1.0516000000000005</v>
      </c>
    </row>
    <row r="289" spans="1:11" x14ac:dyDescent="0.2">
      <c r="A289" s="70">
        <v>44655</v>
      </c>
      <c r="B289" s="57">
        <v>2013</v>
      </c>
      <c r="C289" s="57" t="s">
        <v>173</v>
      </c>
      <c r="D289" s="57" t="s">
        <v>174</v>
      </c>
      <c r="E289" s="57" t="s">
        <v>175</v>
      </c>
      <c r="F289" s="57">
        <f t="shared" si="8"/>
        <v>1</v>
      </c>
      <c r="G289" s="57">
        <v>25.623699999999999</v>
      </c>
      <c r="H289" s="57">
        <v>28.488</v>
      </c>
      <c r="I289" s="57">
        <v>26.881499999999999</v>
      </c>
      <c r="J289" s="33">
        <f t="shared" si="9"/>
        <v>2.8643000000000001</v>
      </c>
      <c r="K289" s="33">
        <f t="shared" si="10"/>
        <v>1.2577999999999996</v>
      </c>
    </row>
    <row r="290" spans="1:11" x14ac:dyDescent="0.2">
      <c r="A290" s="70">
        <v>44655</v>
      </c>
      <c r="B290" s="57">
        <v>2022</v>
      </c>
      <c r="C290" s="57" t="s">
        <v>173</v>
      </c>
      <c r="D290" s="57" t="s">
        <v>177</v>
      </c>
      <c r="E290" s="57" t="s">
        <v>178</v>
      </c>
      <c r="F290" s="57">
        <f t="shared" si="8"/>
        <v>0</v>
      </c>
      <c r="G290" s="57">
        <v>26.167300000000001</v>
      </c>
      <c r="H290" s="57">
        <v>31.671299999999999</v>
      </c>
      <c r="I290" s="57">
        <v>28.7058</v>
      </c>
      <c r="J290" s="33">
        <f t="shared" si="9"/>
        <v>5.5039999999999978</v>
      </c>
      <c r="K290" s="33">
        <f t="shared" si="10"/>
        <v>2.5384999999999991</v>
      </c>
    </row>
    <row r="291" spans="1:11" x14ac:dyDescent="0.2">
      <c r="A291" s="70">
        <v>44650</v>
      </c>
      <c r="B291" s="57">
        <v>2384</v>
      </c>
      <c r="C291" s="57" t="s">
        <v>173</v>
      </c>
      <c r="D291" s="57" t="s">
        <v>177</v>
      </c>
      <c r="E291" s="57" t="s">
        <v>175</v>
      </c>
      <c r="F291" s="57">
        <f t="shared" si="8"/>
        <v>0</v>
      </c>
      <c r="G291" s="57">
        <v>26.166399999999999</v>
      </c>
      <c r="H291" s="57">
        <v>26.283200000000001</v>
      </c>
      <c r="I291" s="57">
        <v>26.248000000000001</v>
      </c>
      <c r="J291" s="33">
        <f t="shared" si="9"/>
        <v>0.11680000000000135</v>
      </c>
      <c r="K291" s="33">
        <f t="shared" si="10"/>
        <v>8.1600000000001671E-2</v>
      </c>
    </row>
    <row r="292" spans="1:11" x14ac:dyDescent="0.2">
      <c r="A292" s="70">
        <v>44655</v>
      </c>
      <c r="B292" s="57">
        <v>2026</v>
      </c>
      <c r="C292" s="57" t="s">
        <v>173</v>
      </c>
      <c r="D292" s="57" t="s">
        <v>174</v>
      </c>
      <c r="E292" s="57" t="s">
        <v>175</v>
      </c>
      <c r="F292" s="57">
        <f t="shared" si="8"/>
        <v>1</v>
      </c>
      <c r="G292" s="57">
        <v>26.085699999999999</v>
      </c>
      <c r="H292" s="57">
        <v>26.9894</v>
      </c>
      <c r="I292" s="57">
        <v>26.5122</v>
      </c>
      <c r="J292" s="33">
        <f t="shared" si="9"/>
        <v>0.90370000000000061</v>
      </c>
      <c r="K292" s="33">
        <f t="shared" si="10"/>
        <v>0.42650000000000077</v>
      </c>
    </row>
    <row r="293" spans="1:11" x14ac:dyDescent="0.2">
      <c r="A293" s="70">
        <v>44655</v>
      </c>
      <c r="B293" s="57">
        <v>1478</v>
      </c>
      <c r="C293" s="57" t="s">
        <v>176</v>
      </c>
      <c r="D293" s="57" t="s">
        <v>177</v>
      </c>
      <c r="E293" s="57" t="s">
        <v>175</v>
      </c>
      <c r="F293" s="57">
        <f t="shared" si="8"/>
        <v>0</v>
      </c>
      <c r="G293" s="57">
        <v>26.555399999999999</v>
      </c>
      <c r="H293" s="57">
        <v>27.4331</v>
      </c>
      <c r="I293" s="57">
        <v>26.797799999999999</v>
      </c>
      <c r="J293" s="33">
        <f t="shared" si="9"/>
        <v>0.87770000000000081</v>
      </c>
      <c r="K293" s="33">
        <f t="shared" si="10"/>
        <v>0.24239999999999995</v>
      </c>
    </row>
    <row r="294" spans="1:11" x14ac:dyDescent="0.2">
      <c r="A294" s="70">
        <v>44655</v>
      </c>
      <c r="B294" s="57">
        <v>2012</v>
      </c>
      <c r="C294" s="57" t="s">
        <v>176</v>
      </c>
      <c r="D294" s="57" t="s">
        <v>174</v>
      </c>
      <c r="E294" s="57" t="s">
        <v>175</v>
      </c>
      <c r="F294" s="57">
        <f t="shared" si="8"/>
        <v>1</v>
      </c>
      <c r="G294" s="57">
        <v>26.448</v>
      </c>
      <c r="H294" s="57">
        <v>28.234100000000002</v>
      </c>
      <c r="I294" s="57">
        <v>27.3721</v>
      </c>
      <c r="J294" s="33">
        <f t="shared" si="9"/>
        <v>1.7861000000000011</v>
      </c>
      <c r="K294" s="33">
        <f t="shared" si="10"/>
        <v>0.92409999999999926</v>
      </c>
    </row>
    <row r="295" spans="1:11" x14ac:dyDescent="0.2">
      <c r="A295" s="70">
        <v>44655</v>
      </c>
      <c r="B295" s="57">
        <v>2007</v>
      </c>
      <c r="C295" s="57" t="s">
        <v>173</v>
      </c>
      <c r="D295" s="57" t="s">
        <v>177</v>
      </c>
      <c r="E295" s="57" t="s">
        <v>175</v>
      </c>
      <c r="F295" s="57">
        <f t="shared" si="8"/>
        <v>0</v>
      </c>
      <c r="G295" s="57">
        <v>25.437899999999999</v>
      </c>
      <c r="H295" s="57">
        <v>26.107800000000001</v>
      </c>
      <c r="I295" s="57">
        <v>25.7119</v>
      </c>
      <c r="J295" s="33">
        <f t="shared" si="9"/>
        <v>0.66990000000000194</v>
      </c>
      <c r="K295" s="33">
        <f t="shared" si="10"/>
        <v>0.27400000000000091</v>
      </c>
    </row>
    <row r="296" spans="1:11" x14ac:dyDescent="0.2">
      <c r="A296" s="70">
        <v>44655</v>
      </c>
      <c r="B296" s="57">
        <v>2086</v>
      </c>
      <c r="C296" s="57" t="s">
        <v>176</v>
      </c>
      <c r="D296" s="57" t="s">
        <v>177</v>
      </c>
      <c r="E296" s="57" t="s">
        <v>175</v>
      </c>
      <c r="F296" s="57">
        <v>0</v>
      </c>
      <c r="G296" s="57">
        <v>26.579899999999999</v>
      </c>
      <c r="H296" s="57">
        <v>27.124199999999998</v>
      </c>
      <c r="I296" s="57">
        <v>26.795300000000001</v>
      </c>
      <c r="J296" s="33">
        <f t="shared" si="9"/>
        <v>0.54429999999999978</v>
      </c>
      <c r="K296" s="33">
        <f t="shared" si="10"/>
        <v>0.21540000000000248</v>
      </c>
    </row>
    <row r="297" spans="1:11" x14ac:dyDescent="0.2">
      <c r="A297" s="70">
        <v>44650</v>
      </c>
      <c r="B297" s="57">
        <v>2384</v>
      </c>
      <c r="C297" s="57" t="s">
        <v>173</v>
      </c>
      <c r="D297" s="57" t="s">
        <v>177</v>
      </c>
      <c r="E297" s="57" t="s">
        <v>178</v>
      </c>
      <c r="F297" s="57">
        <f t="shared" ref="F297:F370" si="11">IF(D297="old",1,0)</f>
        <v>0</v>
      </c>
      <c r="G297" s="57">
        <v>26.1053</v>
      </c>
      <c r="H297" s="57">
        <v>29.658200000000001</v>
      </c>
      <c r="I297" s="57">
        <v>27.664000000000001</v>
      </c>
      <c r="J297" s="33">
        <f t="shared" si="9"/>
        <v>3.5529000000000011</v>
      </c>
      <c r="K297" s="33">
        <f t="shared" si="10"/>
        <v>1.5587000000000018</v>
      </c>
    </row>
    <row r="298" spans="1:11" x14ac:dyDescent="0.2">
      <c r="A298" s="70">
        <v>44650</v>
      </c>
      <c r="B298" s="57">
        <v>2347</v>
      </c>
      <c r="C298" s="57" t="s">
        <v>173</v>
      </c>
      <c r="D298" s="57" t="s">
        <v>177</v>
      </c>
      <c r="E298" s="57" t="s">
        <v>175</v>
      </c>
      <c r="F298" s="57">
        <f t="shared" si="11"/>
        <v>0</v>
      </c>
      <c r="G298" s="57">
        <v>26.2544</v>
      </c>
      <c r="H298" s="57">
        <v>27.082899999999999</v>
      </c>
      <c r="I298" s="57">
        <v>26.514800000000001</v>
      </c>
      <c r="J298" s="33">
        <f t="shared" si="9"/>
        <v>0.82849999999999824</v>
      </c>
      <c r="K298" s="33">
        <f t="shared" si="10"/>
        <v>0.26040000000000063</v>
      </c>
    </row>
    <row r="299" spans="1:11" x14ac:dyDescent="0.2">
      <c r="A299" s="70">
        <v>44650</v>
      </c>
      <c r="B299" s="57">
        <v>2381</v>
      </c>
      <c r="C299" s="57" t="s">
        <v>173</v>
      </c>
      <c r="D299" s="57" t="s">
        <v>174</v>
      </c>
      <c r="E299" s="57" t="s">
        <v>175</v>
      </c>
      <c r="F299" s="57">
        <f t="shared" si="11"/>
        <v>1</v>
      </c>
      <c r="G299" s="57">
        <v>26.327500000000001</v>
      </c>
      <c r="H299" s="57">
        <v>26.2529</v>
      </c>
      <c r="I299" s="57">
        <v>26.4862</v>
      </c>
      <c r="J299" s="33">
        <f t="shared" si="9"/>
        <v>-7.4600000000000222E-2</v>
      </c>
      <c r="K299" s="33">
        <f t="shared" si="10"/>
        <v>0.15869999999999962</v>
      </c>
    </row>
    <row r="300" spans="1:11" x14ac:dyDescent="0.2">
      <c r="A300" s="70">
        <v>44655</v>
      </c>
      <c r="B300" s="57">
        <v>2008</v>
      </c>
      <c r="C300" s="57" t="s">
        <v>173</v>
      </c>
      <c r="D300" s="57" t="s">
        <v>174</v>
      </c>
      <c r="E300" s="57" t="s">
        <v>175</v>
      </c>
      <c r="F300" s="57">
        <f t="shared" si="11"/>
        <v>1</v>
      </c>
      <c r="G300" s="57">
        <v>26.133400000000002</v>
      </c>
      <c r="H300" s="57">
        <v>27.597799999999999</v>
      </c>
      <c r="I300" s="57">
        <v>26.476800000000001</v>
      </c>
      <c r="J300" s="33">
        <f t="shared" si="9"/>
        <v>1.4643999999999977</v>
      </c>
      <c r="K300" s="33">
        <f t="shared" si="10"/>
        <v>0.34339999999999904</v>
      </c>
    </row>
    <row r="301" spans="1:11" x14ac:dyDescent="0.2">
      <c r="A301" s="70">
        <v>44655</v>
      </c>
      <c r="B301" s="57">
        <v>2015</v>
      </c>
      <c r="C301" s="57" t="s">
        <v>176</v>
      </c>
      <c r="D301" s="57" t="s">
        <v>177</v>
      </c>
      <c r="E301" s="57" t="s">
        <v>178</v>
      </c>
      <c r="F301" s="57">
        <f t="shared" si="11"/>
        <v>0</v>
      </c>
      <c r="G301" s="57">
        <v>26.5947</v>
      </c>
      <c r="H301" s="57">
        <v>33.164900000000003</v>
      </c>
      <c r="I301" s="57">
        <v>29.625599999999999</v>
      </c>
      <c r="J301" s="33">
        <f t="shared" si="9"/>
        <v>6.5702000000000034</v>
      </c>
      <c r="K301" s="33">
        <f t="shared" si="10"/>
        <v>3.030899999999999</v>
      </c>
    </row>
    <row r="302" spans="1:11" x14ac:dyDescent="0.2">
      <c r="A302" s="70">
        <v>44655</v>
      </c>
      <c r="B302" s="57">
        <v>2085</v>
      </c>
      <c r="C302" s="57" t="s">
        <v>173</v>
      </c>
      <c r="D302" s="57" t="s">
        <v>177</v>
      </c>
      <c r="E302" s="57" t="s">
        <v>178</v>
      </c>
      <c r="F302" s="57">
        <f t="shared" si="11"/>
        <v>0</v>
      </c>
      <c r="G302" s="57">
        <v>26.087900000000001</v>
      </c>
      <c r="H302" s="57">
        <v>33.732399999999998</v>
      </c>
      <c r="I302" s="57">
        <v>28.9513</v>
      </c>
      <c r="J302" s="33">
        <f t="shared" si="9"/>
        <v>7.6444999999999972</v>
      </c>
      <c r="K302" s="33">
        <f t="shared" si="10"/>
        <v>2.8633999999999986</v>
      </c>
    </row>
    <row r="303" spans="1:11" x14ac:dyDescent="0.2">
      <c r="A303" s="70">
        <v>44655</v>
      </c>
      <c r="B303" s="57" t="s">
        <v>180</v>
      </c>
      <c r="C303" s="57" t="s">
        <v>173</v>
      </c>
      <c r="D303" s="57" t="s">
        <v>177</v>
      </c>
      <c r="E303" s="57" t="s">
        <v>179</v>
      </c>
      <c r="F303" s="57">
        <f t="shared" si="11"/>
        <v>0</v>
      </c>
      <c r="G303" s="57">
        <v>26.5227</v>
      </c>
      <c r="H303" s="57">
        <v>30.1783</v>
      </c>
      <c r="I303" s="57">
        <v>27.646100000000001</v>
      </c>
      <c r="J303" s="33">
        <f t="shared" si="9"/>
        <v>3.6555999999999997</v>
      </c>
      <c r="K303" s="33">
        <f t="shared" si="10"/>
        <v>1.1234000000000002</v>
      </c>
    </row>
    <row r="304" spans="1:11" x14ac:dyDescent="0.2">
      <c r="A304" s="70">
        <v>44655</v>
      </c>
      <c r="B304" s="57">
        <v>2007</v>
      </c>
      <c r="C304" s="57" t="s">
        <v>173</v>
      </c>
      <c r="D304" s="57" t="s">
        <v>177</v>
      </c>
      <c r="E304" s="57" t="s">
        <v>178</v>
      </c>
      <c r="F304" s="57">
        <f t="shared" si="11"/>
        <v>0</v>
      </c>
      <c r="G304" s="57">
        <v>26.496200000000002</v>
      </c>
      <c r="H304" s="57">
        <v>32.143999999999998</v>
      </c>
      <c r="I304" s="57">
        <v>29.3995</v>
      </c>
      <c r="J304" s="33">
        <f t="shared" si="9"/>
        <v>5.6477999999999966</v>
      </c>
      <c r="K304" s="33">
        <f t="shared" si="10"/>
        <v>2.903299999999998</v>
      </c>
    </row>
    <row r="305" spans="1:11" x14ac:dyDescent="0.2">
      <c r="A305" s="70">
        <v>44650</v>
      </c>
      <c r="B305" s="57">
        <v>2345</v>
      </c>
      <c r="C305" s="57" t="s">
        <v>173</v>
      </c>
      <c r="D305" s="57" t="s">
        <v>174</v>
      </c>
      <c r="E305" s="57" t="s">
        <v>175</v>
      </c>
      <c r="F305" s="57">
        <f t="shared" si="11"/>
        <v>1</v>
      </c>
      <c r="G305" s="57">
        <v>26.6145</v>
      </c>
      <c r="H305" s="57">
        <v>27.893999999999998</v>
      </c>
      <c r="I305" s="57">
        <v>27.322600000000001</v>
      </c>
      <c r="J305" s="33">
        <f t="shared" si="9"/>
        <v>1.2794999999999987</v>
      </c>
      <c r="K305" s="33">
        <f t="shared" si="10"/>
        <v>0.70810000000000173</v>
      </c>
    </row>
    <row r="306" spans="1:11" x14ac:dyDescent="0.2">
      <c r="A306" s="70">
        <v>44655</v>
      </c>
      <c r="B306" s="57">
        <v>2012</v>
      </c>
      <c r="C306" s="57" t="s">
        <v>176</v>
      </c>
      <c r="D306" s="57" t="s">
        <v>177</v>
      </c>
      <c r="E306" s="57" t="s">
        <v>175</v>
      </c>
      <c r="F306" s="57">
        <f t="shared" si="11"/>
        <v>0</v>
      </c>
      <c r="G306" s="57">
        <v>16.123000000000001</v>
      </c>
      <c r="H306" s="57">
        <v>16.487500000000001</v>
      </c>
      <c r="I306" s="57">
        <v>16.235099999999999</v>
      </c>
      <c r="J306" s="33">
        <f t="shared" si="9"/>
        <v>0.3644999999999996</v>
      </c>
      <c r="K306" s="33">
        <f t="shared" si="10"/>
        <v>0.11209999999999809</v>
      </c>
    </row>
    <row r="307" spans="1:11" x14ac:dyDescent="0.2">
      <c r="A307" s="70">
        <v>44655</v>
      </c>
      <c r="B307" s="57">
        <v>2004</v>
      </c>
      <c r="C307" s="57" t="s">
        <v>173</v>
      </c>
      <c r="D307" s="57" t="s">
        <v>174</v>
      </c>
      <c r="E307" s="57" t="s">
        <v>175</v>
      </c>
      <c r="F307" s="57">
        <f t="shared" si="11"/>
        <v>1</v>
      </c>
      <c r="G307" s="57">
        <v>25.802299999999999</v>
      </c>
      <c r="H307" s="57">
        <v>27.4389</v>
      </c>
      <c r="I307" s="57">
        <v>26.563500000000001</v>
      </c>
      <c r="J307" s="33">
        <f t="shared" si="9"/>
        <v>1.6366000000000014</v>
      </c>
      <c r="K307" s="33">
        <f t="shared" si="10"/>
        <v>0.76120000000000232</v>
      </c>
    </row>
    <row r="308" spans="1:11" x14ac:dyDescent="0.2">
      <c r="A308" s="70">
        <v>44655</v>
      </c>
      <c r="B308" s="57">
        <v>2030</v>
      </c>
      <c r="C308" s="57" t="s">
        <v>173</v>
      </c>
      <c r="D308" s="57" t="s">
        <v>177</v>
      </c>
      <c r="E308" s="57" t="s">
        <v>175</v>
      </c>
      <c r="F308" s="57">
        <f t="shared" si="11"/>
        <v>0</v>
      </c>
      <c r="G308" s="57">
        <v>26.489899999999999</v>
      </c>
      <c r="H308" s="57">
        <v>27.200600000000001</v>
      </c>
      <c r="I308" s="57">
        <v>26.767700000000001</v>
      </c>
      <c r="J308" s="33">
        <f t="shared" si="9"/>
        <v>0.71070000000000277</v>
      </c>
      <c r="K308" s="33">
        <f t="shared" si="10"/>
        <v>0.27780000000000271</v>
      </c>
    </row>
    <row r="309" spans="1:11" x14ac:dyDescent="0.2">
      <c r="A309" s="70">
        <v>44655</v>
      </c>
      <c r="B309" s="57">
        <v>2087</v>
      </c>
      <c r="C309" s="57" t="s">
        <v>176</v>
      </c>
      <c r="D309" s="57" t="s">
        <v>177</v>
      </c>
      <c r="E309" s="57" t="s">
        <v>178</v>
      </c>
      <c r="F309" s="57">
        <f t="shared" si="11"/>
        <v>0</v>
      </c>
      <c r="G309" s="57">
        <v>25.998799999999999</v>
      </c>
      <c r="H309" s="57">
        <v>31.9758</v>
      </c>
      <c r="I309" s="57">
        <v>28.332699999999999</v>
      </c>
      <c r="J309" s="33">
        <f t="shared" si="9"/>
        <v>5.9770000000000003</v>
      </c>
      <c r="K309" s="33">
        <f t="shared" si="10"/>
        <v>2.3338999999999999</v>
      </c>
    </row>
    <row r="310" spans="1:11" x14ac:dyDescent="0.2">
      <c r="A310" s="70">
        <v>44655</v>
      </c>
      <c r="B310" s="57">
        <v>2012</v>
      </c>
      <c r="C310" s="57" t="s">
        <v>176</v>
      </c>
      <c r="D310" s="57" t="s">
        <v>177</v>
      </c>
      <c r="E310" s="57" t="s">
        <v>178</v>
      </c>
      <c r="F310" s="57">
        <f t="shared" si="11"/>
        <v>0</v>
      </c>
      <c r="G310" s="57">
        <v>25.364999999999998</v>
      </c>
      <c r="H310" s="57">
        <v>29.770399999999999</v>
      </c>
      <c r="I310" s="57">
        <v>27.07</v>
      </c>
      <c r="J310" s="33">
        <f t="shared" si="9"/>
        <v>4.4054000000000002</v>
      </c>
      <c r="K310" s="33">
        <f t="shared" si="10"/>
        <v>1.7050000000000018</v>
      </c>
    </row>
    <row r="311" spans="1:11" x14ac:dyDescent="0.2">
      <c r="A311" s="70">
        <v>44650</v>
      </c>
      <c r="B311" s="57">
        <v>2382</v>
      </c>
      <c r="C311" s="57" t="s">
        <v>173</v>
      </c>
      <c r="D311" s="57" t="s">
        <v>174</v>
      </c>
      <c r="E311" s="57" t="s">
        <v>175</v>
      </c>
      <c r="F311" s="57">
        <f t="shared" si="11"/>
        <v>1</v>
      </c>
      <c r="G311" s="57">
        <v>26.037400000000002</v>
      </c>
      <c r="H311" s="57">
        <v>26.987500000000001</v>
      </c>
      <c r="I311" s="57">
        <v>26.4651</v>
      </c>
      <c r="J311" s="33">
        <f t="shared" si="9"/>
        <v>0.95009999999999906</v>
      </c>
      <c r="K311" s="33">
        <f t="shared" si="10"/>
        <v>0.42769999999999797</v>
      </c>
    </row>
    <row r="312" spans="1:11" x14ac:dyDescent="0.2">
      <c r="A312" s="70">
        <v>44655</v>
      </c>
      <c r="B312" s="57">
        <v>2023</v>
      </c>
      <c r="C312" s="57" t="s">
        <v>173</v>
      </c>
      <c r="D312" s="57" t="s">
        <v>177</v>
      </c>
      <c r="E312" s="57" t="s">
        <v>175</v>
      </c>
      <c r="F312" s="57">
        <f t="shared" si="11"/>
        <v>0</v>
      </c>
      <c r="G312" s="57">
        <v>15.9682</v>
      </c>
      <c r="H312" s="57">
        <v>16.334099999999999</v>
      </c>
      <c r="I312" s="57">
        <v>16.218900000000001</v>
      </c>
      <c r="J312" s="33">
        <f t="shared" si="9"/>
        <v>0.36589999999999989</v>
      </c>
      <c r="K312" s="33">
        <f t="shared" si="10"/>
        <v>0.25070000000000192</v>
      </c>
    </row>
    <row r="313" spans="1:11" x14ac:dyDescent="0.2">
      <c r="A313" s="70">
        <v>44650</v>
      </c>
      <c r="B313" s="57">
        <v>2369</v>
      </c>
      <c r="C313" s="57" t="s">
        <v>173</v>
      </c>
      <c r="D313" s="57" t="s">
        <v>177</v>
      </c>
      <c r="E313" s="57" t="s">
        <v>178</v>
      </c>
      <c r="F313" s="57">
        <f t="shared" si="11"/>
        <v>0</v>
      </c>
      <c r="G313" s="57">
        <v>26.161300000000001</v>
      </c>
      <c r="H313" s="57">
        <v>33.650300000000001</v>
      </c>
      <c r="I313" s="57">
        <v>29.357700000000001</v>
      </c>
      <c r="J313" s="33">
        <f t="shared" si="9"/>
        <v>7.4890000000000008</v>
      </c>
      <c r="K313" s="33">
        <f t="shared" si="10"/>
        <v>3.1964000000000006</v>
      </c>
    </row>
    <row r="314" spans="1:11" x14ac:dyDescent="0.2">
      <c r="A314" s="70">
        <v>44650</v>
      </c>
      <c r="B314" s="57">
        <v>2354</v>
      </c>
      <c r="C314" s="57" t="s">
        <v>173</v>
      </c>
      <c r="D314" s="57" t="s">
        <v>174</v>
      </c>
      <c r="E314" s="57" t="s">
        <v>178</v>
      </c>
      <c r="F314" s="57">
        <f t="shared" si="11"/>
        <v>1</v>
      </c>
      <c r="G314" s="57">
        <v>26.154499999999999</v>
      </c>
      <c r="H314" s="57">
        <v>27.108000000000001</v>
      </c>
      <c r="I314" s="57">
        <v>26.936599999999999</v>
      </c>
      <c r="J314" s="33">
        <f t="shared" si="9"/>
        <v>0.95350000000000179</v>
      </c>
      <c r="K314" s="33">
        <f t="shared" si="10"/>
        <v>0.7820999999999998</v>
      </c>
    </row>
    <row r="315" spans="1:11" x14ac:dyDescent="0.2">
      <c r="A315" s="70">
        <v>44655</v>
      </c>
      <c r="B315" s="57">
        <v>2021</v>
      </c>
      <c r="C315" s="57" t="s">
        <v>173</v>
      </c>
      <c r="D315" s="57" t="s">
        <v>177</v>
      </c>
      <c r="E315" s="57" t="s">
        <v>175</v>
      </c>
      <c r="F315" s="57">
        <f t="shared" si="11"/>
        <v>0</v>
      </c>
      <c r="G315" s="57">
        <v>25.800999999999998</v>
      </c>
      <c r="H315" s="57">
        <v>26.304200000000002</v>
      </c>
      <c r="I315" s="57">
        <v>25.994399999999999</v>
      </c>
      <c r="J315" s="33">
        <f t="shared" si="9"/>
        <v>0.5032000000000032</v>
      </c>
      <c r="K315" s="33">
        <f t="shared" si="10"/>
        <v>0.19340000000000046</v>
      </c>
    </row>
    <row r="316" spans="1:11" x14ac:dyDescent="0.2">
      <c r="A316" s="70">
        <v>44655</v>
      </c>
      <c r="B316" s="57">
        <v>2006</v>
      </c>
      <c r="C316" s="57" t="s">
        <v>173</v>
      </c>
      <c r="D316" s="57" t="s">
        <v>174</v>
      </c>
      <c r="E316" s="57" t="s">
        <v>175</v>
      </c>
      <c r="F316" s="57">
        <f t="shared" si="11"/>
        <v>1</v>
      </c>
      <c r="G316" s="57">
        <v>25.75</v>
      </c>
      <c r="H316" s="57">
        <v>27.149000000000001</v>
      </c>
      <c r="I316" s="57">
        <v>26.2043</v>
      </c>
      <c r="J316" s="33">
        <f t="shared" si="9"/>
        <v>1.3990000000000009</v>
      </c>
      <c r="K316" s="33">
        <f t="shared" si="10"/>
        <v>0.45429999999999993</v>
      </c>
    </row>
    <row r="317" spans="1:11" x14ac:dyDescent="0.2">
      <c r="A317" s="70">
        <v>44650</v>
      </c>
      <c r="B317" s="57">
        <v>2371</v>
      </c>
      <c r="C317" s="57" t="s">
        <v>173</v>
      </c>
      <c r="D317" s="57" t="s">
        <v>177</v>
      </c>
      <c r="E317" s="57" t="s">
        <v>178</v>
      </c>
      <c r="F317" s="57">
        <f t="shared" si="11"/>
        <v>0</v>
      </c>
      <c r="G317" s="57">
        <v>26.305800000000001</v>
      </c>
      <c r="H317" s="57">
        <v>30.502199999999998</v>
      </c>
      <c r="I317" s="57">
        <v>27.572500000000002</v>
      </c>
      <c r="J317" s="33">
        <f t="shared" si="9"/>
        <v>4.196399999999997</v>
      </c>
      <c r="K317" s="33">
        <f t="shared" si="10"/>
        <v>1.2667000000000002</v>
      </c>
    </row>
    <row r="318" spans="1:11" x14ac:dyDescent="0.2">
      <c r="A318" s="70">
        <v>44655</v>
      </c>
      <c r="B318" s="57">
        <v>2092</v>
      </c>
      <c r="C318" s="57" t="s">
        <v>173</v>
      </c>
      <c r="D318" s="57" t="s">
        <v>174</v>
      </c>
      <c r="E318" s="57" t="s">
        <v>175</v>
      </c>
      <c r="F318" s="57">
        <f t="shared" si="11"/>
        <v>1</v>
      </c>
      <c r="G318" s="57">
        <v>26.128399999999999</v>
      </c>
      <c r="H318" s="57">
        <v>26.683</v>
      </c>
      <c r="I318" s="57">
        <v>26.590699999999998</v>
      </c>
      <c r="J318" s="33">
        <f t="shared" si="9"/>
        <v>0.55460000000000065</v>
      </c>
      <c r="K318" s="33">
        <f t="shared" si="10"/>
        <v>0.46229999999999905</v>
      </c>
    </row>
    <row r="319" spans="1:11" x14ac:dyDescent="0.2">
      <c r="A319" s="70">
        <v>44655</v>
      </c>
      <c r="B319" s="57">
        <v>2090</v>
      </c>
      <c r="C319" s="57" t="s">
        <v>173</v>
      </c>
      <c r="D319" s="57" t="s">
        <v>177</v>
      </c>
      <c r="E319" s="57" t="s">
        <v>175</v>
      </c>
      <c r="F319" s="57">
        <f t="shared" si="11"/>
        <v>0</v>
      </c>
      <c r="G319" s="57">
        <v>26.063800000000001</v>
      </c>
      <c r="H319" s="57">
        <v>26.846</v>
      </c>
      <c r="I319" s="57">
        <v>26.194800000000001</v>
      </c>
      <c r="J319" s="33">
        <f t="shared" si="9"/>
        <v>0.78219999999999956</v>
      </c>
      <c r="K319" s="33">
        <f t="shared" si="10"/>
        <v>0.13100000000000023</v>
      </c>
    </row>
    <row r="320" spans="1:11" x14ac:dyDescent="0.2">
      <c r="A320" s="70">
        <v>44650</v>
      </c>
      <c r="B320" s="57">
        <v>2375</v>
      </c>
      <c r="C320" s="57" t="s">
        <v>173</v>
      </c>
      <c r="D320" s="57" t="s">
        <v>177</v>
      </c>
      <c r="E320" s="57" t="s">
        <v>175</v>
      </c>
      <c r="F320" s="57">
        <f t="shared" si="11"/>
        <v>0</v>
      </c>
      <c r="G320" s="57">
        <v>26.337900000000001</v>
      </c>
      <c r="H320" s="57">
        <v>27.0124</v>
      </c>
      <c r="I320" s="57">
        <v>26.687200000000001</v>
      </c>
      <c r="J320" s="33">
        <f t="shared" si="9"/>
        <v>0.67449999999999832</v>
      </c>
      <c r="K320" s="33">
        <f t="shared" si="10"/>
        <v>0.3492999999999995</v>
      </c>
    </row>
    <row r="321" spans="1:11" x14ac:dyDescent="0.2">
      <c r="A321" s="70">
        <v>44655</v>
      </c>
      <c r="B321" s="57">
        <v>2089</v>
      </c>
      <c r="C321" s="57" t="s">
        <v>173</v>
      </c>
      <c r="D321" s="57" t="s">
        <v>174</v>
      </c>
      <c r="E321" s="57" t="s">
        <v>175</v>
      </c>
      <c r="F321" s="57">
        <f t="shared" si="11"/>
        <v>1</v>
      </c>
      <c r="G321" s="57">
        <v>26.253499999999999</v>
      </c>
      <c r="H321" s="57">
        <v>27.420500000000001</v>
      </c>
      <c r="I321" s="57">
        <v>27.0992</v>
      </c>
      <c r="J321" s="33">
        <f t="shared" si="9"/>
        <v>1.1670000000000016</v>
      </c>
      <c r="K321" s="33">
        <f t="shared" si="10"/>
        <v>0.84570000000000078</v>
      </c>
    </row>
    <row r="322" spans="1:11" x14ac:dyDescent="0.2">
      <c r="A322" s="70">
        <v>44650</v>
      </c>
      <c r="B322" s="57">
        <v>2371</v>
      </c>
      <c r="C322" s="57" t="s">
        <v>173</v>
      </c>
      <c r="D322" s="57" t="s">
        <v>174</v>
      </c>
      <c r="E322" s="57" t="s">
        <v>175</v>
      </c>
      <c r="F322" s="57">
        <f t="shared" si="11"/>
        <v>1</v>
      </c>
      <c r="G322" s="57">
        <v>15.090199999999999</v>
      </c>
      <c r="H322" s="57">
        <v>16.039300000000001</v>
      </c>
      <c r="I322" s="57">
        <v>15.3919</v>
      </c>
      <c r="J322" s="33">
        <f t="shared" si="9"/>
        <v>0.94910000000000139</v>
      </c>
      <c r="K322" s="33">
        <f t="shared" si="10"/>
        <v>0.3017000000000003</v>
      </c>
    </row>
    <row r="323" spans="1:11" x14ac:dyDescent="0.2">
      <c r="A323" s="70">
        <v>44655</v>
      </c>
      <c r="B323" s="57">
        <v>2020</v>
      </c>
      <c r="C323" s="57" t="s">
        <v>173</v>
      </c>
      <c r="D323" s="57" t="s">
        <v>177</v>
      </c>
      <c r="E323" s="57" t="s">
        <v>175</v>
      </c>
      <c r="F323" s="57">
        <f t="shared" si="11"/>
        <v>0</v>
      </c>
      <c r="G323" s="57">
        <v>15.5764</v>
      </c>
      <c r="H323" s="57">
        <v>17.174399999999999</v>
      </c>
      <c r="I323" s="57">
        <v>16.026399999999999</v>
      </c>
      <c r="J323" s="33">
        <f t="shared" si="9"/>
        <v>1.597999999999999</v>
      </c>
      <c r="K323" s="33">
        <f t="shared" si="10"/>
        <v>0.44999999999999929</v>
      </c>
    </row>
    <row r="324" spans="1:11" x14ac:dyDescent="0.2">
      <c r="A324" s="70">
        <v>44650</v>
      </c>
      <c r="B324" s="57">
        <v>2347</v>
      </c>
      <c r="C324" s="57" t="s">
        <v>173</v>
      </c>
      <c r="D324" s="57" t="s">
        <v>177</v>
      </c>
      <c r="E324" s="57" t="s">
        <v>178</v>
      </c>
      <c r="F324" s="57">
        <f t="shared" si="11"/>
        <v>0</v>
      </c>
      <c r="G324" s="57">
        <v>25.968299999999999</v>
      </c>
      <c r="H324" s="57">
        <v>33.506300000000003</v>
      </c>
      <c r="I324" s="57">
        <v>28.882300000000001</v>
      </c>
      <c r="J324" s="33">
        <f t="shared" si="9"/>
        <v>7.5380000000000038</v>
      </c>
      <c r="K324" s="33">
        <f t="shared" si="10"/>
        <v>2.9140000000000015</v>
      </c>
    </row>
    <row r="325" spans="1:11" x14ac:dyDescent="0.2">
      <c r="A325" s="70">
        <v>44655</v>
      </c>
      <c r="B325" s="57">
        <v>2024</v>
      </c>
      <c r="C325" s="57" t="s">
        <v>176</v>
      </c>
      <c r="D325" s="57" t="s">
        <v>177</v>
      </c>
      <c r="E325" s="57" t="s">
        <v>178</v>
      </c>
      <c r="F325" s="57">
        <f t="shared" si="11"/>
        <v>0</v>
      </c>
      <c r="G325" s="57">
        <v>16.433399999999999</v>
      </c>
      <c r="H325" s="57">
        <v>23.464600000000001</v>
      </c>
      <c r="I325" s="57">
        <v>19.684999999999999</v>
      </c>
      <c r="J325" s="33">
        <f t="shared" si="9"/>
        <v>7.0312000000000019</v>
      </c>
      <c r="K325" s="33">
        <f t="shared" si="10"/>
        <v>3.2515999999999998</v>
      </c>
    </row>
    <row r="326" spans="1:11" x14ac:dyDescent="0.2">
      <c r="A326" s="70">
        <v>44655</v>
      </c>
      <c r="B326" s="57">
        <v>2012</v>
      </c>
      <c r="C326" s="57" t="s">
        <v>173</v>
      </c>
      <c r="D326" s="57" t="s">
        <v>177</v>
      </c>
      <c r="E326" s="57" t="s">
        <v>175</v>
      </c>
      <c r="F326" s="57">
        <f t="shared" si="11"/>
        <v>0</v>
      </c>
      <c r="G326" s="57">
        <v>26.400500000000001</v>
      </c>
      <c r="H326" s="57">
        <v>27.052</v>
      </c>
      <c r="I326" s="57">
        <v>26.643899999999999</v>
      </c>
      <c r="J326" s="33">
        <f t="shared" si="9"/>
        <v>0.65149999999999864</v>
      </c>
      <c r="K326" s="33">
        <f t="shared" si="10"/>
        <v>0.24339999999999762</v>
      </c>
    </row>
    <row r="327" spans="1:11" x14ac:dyDescent="0.2">
      <c r="A327" s="70">
        <v>44650</v>
      </c>
      <c r="B327" s="57">
        <v>2376</v>
      </c>
      <c r="C327" s="57" t="s">
        <v>173</v>
      </c>
      <c r="D327" s="57" t="s">
        <v>174</v>
      </c>
      <c r="E327" s="57" t="s">
        <v>178</v>
      </c>
      <c r="F327" s="57">
        <f t="shared" si="11"/>
        <v>1</v>
      </c>
      <c r="G327" s="57">
        <v>25.5168</v>
      </c>
      <c r="H327" s="57">
        <v>32.358899999999998</v>
      </c>
      <c r="I327" s="57">
        <v>29.1891</v>
      </c>
      <c r="J327" s="33">
        <f t="shared" si="9"/>
        <v>6.8420999999999985</v>
      </c>
      <c r="K327" s="33">
        <f t="shared" si="10"/>
        <v>3.6722999999999999</v>
      </c>
    </row>
    <row r="328" spans="1:11" x14ac:dyDescent="0.2">
      <c r="A328" s="70">
        <v>44650</v>
      </c>
      <c r="B328" s="57">
        <v>2383</v>
      </c>
      <c r="C328" s="57" t="s">
        <v>173</v>
      </c>
      <c r="D328" s="57" t="s">
        <v>177</v>
      </c>
      <c r="E328" s="57" t="s">
        <v>178</v>
      </c>
      <c r="F328" s="57">
        <f t="shared" si="11"/>
        <v>0</v>
      </c>
      <c r="G328" s="57">
        <v>25.795200000000001</v>
      </c>
      <c r="H328" s="57">
        <v>32.872399999999999</v>
      </c>
      <c r="I328" s="57">
        <v>29.128900000000002</v>
      </c>
      <c r="J328" s="33">
        <f t="shared" si="9"/>
        <v>7.0771999999999977</v>
      </c>
      <c r="K328" s="33">
        <f t="shared" si="10"/>
        <v>3.3337000000000003</v>
      </c>
    </row>
    <row r="329" spans="1:11" x14ac:dyDescent="0.2">
      <c r="A329" s="70">
        <v>44650</v>
      </c>
      <c r="B329" s="57">
        <v>2346</v>
      </c>
      <c r="C329" s="57" t="s">
        <v>173</v>
      </c>
      <c r="D329" s="57" t="s">
        <v>177</v>
      </c>
      <c r="E329" s="57" t="s">
        <v>178</v>
      </c>
      <c r="F329" s="57">
        <f t="shared" si="11"/>
        <v>0</v>
      </c>
      <c r="G329" s="57">
        <v>25.568100000000001</v>
      </c>
      <c r="H329" s="57">
        <v>28.767199999999999</v>
      </c>
      <c r="I329" s="57">
        <v>26.605899999999998</v>
      </c>
      <c r="J329" s="33">
        <f t="shared" si="9"/>
        <v>3.1990999999999978</v>
      </c>
      <c r="K329" s="33">
        <f t="shared" si="10"/>
        <v>1.0377999999999972</v>
      </c>
    </row>
    <row r="330" spans="1:11" x14ac:dyDescent="0.2">
      <c r="A330" s="70">
        <v>44650</v>
      </c>
      <c r="B330" s="57">
        <v>2331</v>
      </c>
      <c r="C330" s="57" t="s">
        <v>173</v>
      </c>
      <c r="D330" s="57" t="s">
        <v>177</v>
      </c>
      <c r="E330" s="57" t="s">
        <v>178</v>
      </c>
      <c r="F330" s="57">
        <f t="shared" si="11"/>
        <v>0</v>
      </c>
      <c r="G330" s="57">
        <v>26.211600000000001</v>
      </c>
      <c r="H330" s="57">
        <v>26.785399999999999</v>
      </c>
      <c r="I330" s="57">
        <v>26.500499999999999</v>
      </c>
      <c r="J330" s="33">
        <f t="shared" si="9"/>
        <v>0.57379999999999853</v>
      </c>
      <c r="K330" s="33">
        <f t="shared" si="10"/>
        <v>0.28889999999999816</v>
      </c>
    </row>
    <row r="331" spans="1:11" x14ac:dyDescent="0.2">
      <c r="A331" s="70">
        <v>44655</v>
      </c>
      <c r="B331" s="57">
        <v>2092</v>
      </c>
      <c r="C331" s="57" t="s">
        <v>173</v>
      </c>
      <c r="D331" s="57" t="s">
        <v>177</v>
      </c>
      <c r="E331" s="57" t="s">
        <v>178</v>
      </c>
      <c r="F331" s="57">
        <f t="shared" si="11"/>
        <v>0</v>
      </c>
      <c r="G331" s="57">
        <v>26.241</v>
      </c>
      <c r="H331" s="57">
        <v>26.2698</v>
      </c>
      <c r="I331" s="57">
        <v>26.416</v>
      </c>
      <c r="J331" s="33">
        <f t="shared" si="9"/>
        <v>2.8800000000000381E-2</v>
      </c>
      <c r="K331" s="33">
        <f t="shared" si="10"/>
        <v>0.17500000000000071</v>
      </c>
    </row>
    <row r="332" spans="1:11" x14ac:dyDescent="0.2">
      <c r="A332" s="70">
        <v>44655</v>
      </c>
      <c r="B332" s="57">
        <v>2020</v>
      </c>
      <c r="C332" s="57" t="s">
        <v>173</v>
      </c>
      <c r="D332" s="57" t="s">
        <v>174</v>
      </c>
      <c r="E332" s="57" t="s">
        <v>175</v>
      </c>
      <c r="F332" s="57">
        <f t="shared" si="11"/>
        <v>1</v>
      </c>
      <c r="G332" s="57">
        <v>15.069100000000001</v>
      </c>
      <c r="H332" s="57">
        <v>15.9741</v>
      </c>
      <c r="I332" s="57">
        <v>15.4491</v>
      </c>
      <c r="J332" s="33">
        <f t="shared" si="9"/>
        <v>0.90499999999999936</v>
      </c>
      <c r="K332" s="33">
        <f t="shared" si="10"/>
        <v>0.37999999999999901</v>
      </c>
    </row>
    <row r="333" spans="1:11" x14ac:dyDescent="0.2">
      <c r="A333" s="70">
        <v>44655</v>
      </c>
      <c r="B333" s="57">
        <v>2087</v>
      </c>
      <c r="C333" s="57" t="s">
        <v>176</v>
      </c>
      <c r="D333" s="57" t="s">
        <v>174</v>
      </c>
      <c r="E333" s="57" t="s">
        <v>175</v>
      </c>
      <c r="F333" s="57">
        <f t="shared" si="11"/>
        <v>1</v>
      </c>
      <c r="G333" s="57">
        <v>15.5214</v>
      </c>
      <c r="H333" s="57">
        <v>17.232700000000001</v>
      </c>
      <c r="I333" s="57">
        <v>16.358799999999999</v>
      </c>
      <c r="J333" s="33">
        <f t="shared" si="9"/>
        <v>1.7113000000000014</v>
      </c>
      <c r="K333" s="33">
        <f t="shared" si="10"/>
        <v>0.83739999999999881</v>
      </c>
    </row>
    <row r="334" spans="1:11" x14ac:dyDescent="0.2">
      <c r="A334" s="70">
        <v>44655</v>
      </c>
      <c r="B334" s="57">
        <v>2014</v>
      </c>
      <c r="C334" s="57" t="s">
        <v>173</v>
      </c>
      <c r="D334" s="57" t="s">
        <v>177</v>
      </c>
      <c r="E334" s="57" t="s">
        <v>178</v>
      </c>
      <c r="F334" s="57">
        <f t="shared" si="11"/>
        <v>0</v>
      </c>
      <c r="G334" s="57">
        <v>25.980499999999999</v>
      </c>
      <c r="H334" s="57">
        <v>30.671600000000002</v>
      </c>
      <c r="I334" s="57">
        <v>27.7759</v>
      </c>
      <c r="J334" s="33">
        <f t="shared" si="9"/>
        <v>4.6911000000000023</v>
      </c>
      <c r="K334" s="33">
        <f t="shared" si="10"/>
        <v>1.7954000000000008</v>
      </c>
    </row>
    <row r="335" spans="1:11" x14ac:dyDescent="0.2">
      <c r="A335" s="70">
        <v>44655</v>
      </c>
      <c r="B335" s="57">
        <v>2088</v>
      </c>
      <c r="C335" s="57" t="s">
        <v>176</v>
      </c>
      <c r="D335" s="57" t="s">
        <v>177</v>
      </c>
      <c r="E335" s="57" t="s">
        <v>178</v>
      </c>
      <c r="F335" s="57">
        <f t="shared" si="11"/>
        <v>0</v>
      </c>
      <c r="G335" s="57">
        <v>26.148700000000002</v>
      </c>
      <c r="H335" s="57">
        <v>34.542400000000001</v>
      </c>
      <c r="I335" s="57">
        <v>29.730499999999999</v>
      </c>
      <c r="J335" s="33">
        <f t="shared" si="9"/>
        <v>8.3936999999999991</v>
      </c>
      <c r="K335" s="33">
        <f t="shared" si="10"/>
        <v>3.5817999999999977</v>
      </c>
    </row>
    <row r="336" spans="1:11" x14ac:dyDescent="0.2">
      <c r="A336" s="70">
        <v>44655</v>
      </c>
      <c r="B336" s="57">
        <v>2006</v>
      </c>
      <c r="C336" s="57" t="s">
        <v>173</v>
      </c>
      <c r="D336" s="57" t="s">
        <v>177</v>
      </c>
      <c r="E336" s="57" t="s">
        <v>175</v>
      </c>
      <c r="F336" s="57">
        <f t="shared" si="11"/>
        <v>0</v>
      </c>
      <c r="G336" s="57">
        <v>25.621200000000002</v>
      </c>
      <c r="H336" s="57">
        <v>27.191800000000001</v>
      </c>
      <c r="I336" s="57">
        <v>26.199000000000002</v>
      </c>
      <c r="J336" s="33">
        <f t="shared" si="9"/>
        <v>1.5705999999999989</v>
      </c>
      <c r="K336" s="33">
        <f t="shared" si="10"/>
        <v>0.57779999999999987</v>
      </c>
    </row>
    <row r="337" spans="1:11" x14ac:dyDescent="0.2">
      <c r="A337" s="70">
        <v>44650</v>
      </c>
      <c r="B337" s="57">
        <v>2381</v>
      </c>
      <c r="C337" s="57" t="s">
        <v>173</v>
      </c>
      <c r="D337" s="57" t="s">
        <v>177</v>
      </c>
      <c r="E337" s="57" t="s">
        <v>175</v>
      </c>
      <c r="F337" s="57">
        <f t="shared" si="11"/>
        <v>0</v>
      </c>
      <c r="G337" s="57">
        <v>26.4192</v>
      </c>
      <c r="H337" s="57">
        <v>27.158300000000001</v>
      </c>
      <c r="I337" s="57">
        <v>26.758600000000001</v>
      </c>
      <c r="J337" s="33">
        <f t="shared" si="9"/>
        <v>0.73910000000000053</v>
      </c>
      <c r="K337" s="33">
        <f t="shared" si="10"/>
        <v>0.33940000000000126</v>
      </c>
    </row>
    <row r="338" spans="1:11" x14ac:dyDescent="0.2">
      <c r="A338" s="70">
        <v>44655</v>
      </c>
      <c r="B338" s="57">
        <v>2004</v>
      </c>
      <c r="C338" s="57" t="s">
        <v>173</v>
      </c>
      <c r="D338" s="57" t="s">
        <v>177</v>
      </c>
      <c r="E338" s="57" t="s">
        <v>175</v>
      </c>
      <c r="F338" s="57">
        <f t="shared" si="11"/>
        <v>0</v>
      </c>
      <c r="G338" s="57">
        <v>25.779599999999999</v>
      </c>
      <c r="H338" s="57">
        <v>27.6005</v>
      </c>
      <c r="I338" s="57">
        <v>26.304099999999998</v>
      </c>
      <c r="J338" s="33">
        <f t="shared" si="9"/>
        <v>1.8209000000000017</v>
      </c>
      <c r="K338" s="33">
        <f t="shared" si="10"/>
        <v>0.52449999999999974</v>
      </c>
    </row>
    <row r="339" spans="1:11" x14ac:dyDescent="0.2">
      <c r="A339" s="70">
        <v>44650</v>
      </c>
      <c r="B339" s="57">
        <v>2343</v>
      </c>
      <c r="C339" s="57" t="s">
        <v>173</v>
      </c>
      <c r="D339" s="57" t="s">
        <v>177</v>
      </c>
      <c r="E339" s="57" t="s">
        <v>178</v>
      </c>
      <c r="F339" s="57">
        <f t="shared" si="11"/>
        <v>0</v>
      </c>
      <c r="G339" s="57">
        <v>25.556799999999999</v>
      </c>
      <c r="H339" s="57">
        <v>32.886000000000003</v>
      </c>
      <c r="I339" s="57">
        <v>28.406500000000001</v>
      </c>
      <c r="J339" s="33">
        <f t="shared" si="9"/>
        <v>7.3292000000000037</v>
      </c>
      <c r="K339" s="33">
        <f t="shared" si="10"/>
        <v>2.8497000000000021</v>
      </c>
    </row>
    <row r="340" spans="1:11" x14ac:dyDescent="0.2">
      <c r="A340" s="70">
        <v>44650</v>
      </c>
      <c r="B340" s="57">
        <v>2375</v>
      </c>
      <c r="C340" s="57" t="s">
        <v>173</v>
      </c>
      <c r="D340" s="57" t="s">
        <v>177</v>
      </c>
      <c r="E340" s="57" t="s">
        <v>178</v>
      </c>
      <c r="F340" s="57">
        <f t="shared" si="11"/>
        <v>0</v>
      </c>
      <c r="G340" s="57">
        <v>26.497499999999999</v>
      </c>
      <c r="H340" s="57">
        <v>31.188800000000001</v>
      </c>
      <c r="I340" s="57">
        <v>28.261500000000002</v>
      </c>
      <c r="J340" s="33">
        <f t="shared" si="9"/>
        <v>4.6913000000000018</v>
      </c>
      <c r="K340" s="33">
        <f t="shared" si="10"/>
        <v>1.7640000000000029</v>
      </c>
    </row>
    <row r="341" spans="1:11" x14ac:dyDescent="0.2">
      <c r="A341" s="70">
        <v>44650</v>
      </c>
      <c r="B341" s="57">
        <v>2367</v>
      </c>
      <c r="C341" s="57" t="s">
        <v>173</v>
      </c>
      <c r="D341" s="57" t="s">
        <v>177</v>
      </c>
      <c r="E341" s="57" t="s">
        <v>178</v>
      </c>
      <c r="F341" s="57">
        <f t="shared" si="11"/>
        <v>0</v>
      </c>
      <c r="G341" s="57">
        <v>26.3948</v>
      </c>
      <c r="H341" s="57">
        <v>29.4621</v>
      </c>
      <c r="I341" s="57">
        <v>27.686900000000001</v>
      </c>
      <c r="J341" s="33">
        <f t="shared" si="9"/>
        <v>3.0672999999999995</v>
      </c>
      <c r="K341" s="33">
        <f t="shared" si="10"/>
        <v>1.2921000000000014</v>
      </c>
    </row>
    <row r="342" spans="1:11" x14ac:dyDescent="0.2">
      <c r="A342" s="70">
        <v>44650</v>
      </c>
      <c r="B342" s="57">
        <v>2354</v>
      </c>
      <c r="C342" s="57" t="s">
        <v>173</v>
      </c>
      <c r="D342" s="57" t="s">
        <v>174</v>
      </c>
      <c r="E342" s="57" t="s">
        <v>175</v>
      </c>
      <c r="F342" s="57">
        <f t="shared" si="11"/>
        <v>1</v>
      </c>
      <c r="G342" s="57">
        <v>26.727799999999998</v>
      </c>
      <c r="H342" s="57">
        <v>26.59</v>
      </c>
      <c r="I342" s="57">
        <v>26.845700000000001</v>
      </c>
      <c r="J342" s="33">
        <f t="shared" si="9"/>
        <v>-0.13779999999999859</v>
      </c>
      <c r="K342" s="33">
        <f t="shared" si="10"/>
        <v>0.11790000000000234</v>
      </c>
    </row>
    <row r="343" spans="1:11" x14ac:dyDescent="0.2">
      <c r="A343" s="70">
        <v>44650</v>
      </c>
      <c r="B343" s="57">
        <v>2331</v>
      </c>
      <c r="C343" s="57" t="s">
        <v>173</v>
      </c>
      <c r="D343" s="57" t="s">
        <v>177</v>
      </c>
      <c r="E343" s="57" t="s">
        <v>175</v>
      </c>
      <c r="F343" s="57">
        <f t="shared" si="11"/>
        <v>0</v>
      </c>
      <c r="G343" s="57">
        <v>26.614799999999999</v>
      </c>
      <c r="H343" s="57">
        <v>26.735700000000001</v>
      </c>
      <c r="I343" s="57">
        <v>26.687999999999999</v>
      </c>
      <c r="J343" s="33">
        <f t="shared" si="9"/>
        <v>0.12090000000000245</v>
      </c>
      <c r="K343" s="33">
        <f t="shared" si="10"/>
        <v>7.3199999999999932E-2</v>
      </c>
    </row>
    <row r="344" spans="1:11" x14ac:dyDescent="0.2">
      <c r="A344" s="70">
        <v>44655</v>
      </c>
      <c r="B344" s="57">
        <v>2027</v>
      </c>
      <c r="C344" s="57" t="s">
        <v>173</v>
      </c>
      <c r="D344" s="57" t="s">
        <v>177</v>
      </c>
      <c r="E344" s="57" t="s">
        <v>175</v>
      </c>
      <c r="F344" s="57">
        <f t="shared" si="11"/>
        <v>0</v>
      </c>
      <c r="G344" s="57">
        <v>15.9872</v>
      </c>
      <c r="H344" s="57">
        <v>16.0457</v>
      </c>
      <c r="I344" s="57">
        <v>16.174299999999999</v>
      </c>
      <c r="J344" s="33">
        <f t="shared" si="9"/>
        <v>5.8500000000000441E-2</v>
      </c>
      <c r="K344" s="33">
        <f t="shared" si="10"/>
        <v>0.18709999999999916</v>
      </c>
    </row>
    <row r="345" spans="1:11" x14ac:dyDescent="0.2">
      <c r="A345" s="70">
        <v>44650</v>
      </c>
      <c r="B345" s="57">
        <v>2352</v>
      </c>
      <c r="C345" s="57" t="s">
        <v>173</v>
      </c>
      <c r="D345" s="57" t="s">
        <v>177</v>
      </c>
      <c r="E345" s="57" t="s">
        <v>178</v>
      </c>
      <c r="F345" s="57">
        <f t="shared" si="11"/>
        <v>0</v>
      </c>
      <c r="G345" s="57">
        <v>25.9237</v>
      </c>
      <c r="H345" s="57">
        <v>26.764099999999999</v>
      </c>
      <c r="I345" s="57">
        <v>26.0517</v>
      </c>
      <c r="J345" s="33">
        <f t="shared" si="9"/>
        <v>0.84039999999999893</v>
      </c>
      <c r="K345" s="33">
        <f t="shared" si="10"/>
        <v>0.12800000000000011</v>
      </c>
    </row>
    <row r="346" spans="1:11" x14ac:dyDescent="0.2">
      <c r="A346" s="70">
        <v>44650</v>
      </c>
      <c r="B346" s="57">
        <v>2379</v>
      </c>
      <c r="C346" s="57" t="s">
        <v>173</v>
      </c>
      <c r="D346" s="57" t="s">
        <v>174</v>
      </c>
      <c r="E346" s="57" t="s">
        <v>175</v>
      </c>
      <c r="F346" s="57">
        <f t="shared" si="11"/>
        <v>1</v>
      </c>
      <c r="G346" s="57">
        <v>26.6387</v>
      </c>
      <c r="H346" s="57">
        <v>26.282900000000001</v>
      </c>
      <c r="I346" s="57">
        <v>26.904299999999999</v>
      </c>
      <c r="J346" s="33">
        <f t="shared" si="9"/>
        <v>-0.35579999999999856</v>
      </c>
      <c r="K346" s="33">
        <f t="shared" si="10"/>
        <v>0.26559999999999917</v>
      </c>
    </row>
    <row r="347" spans="1:11" x14ac:dyDescent="0.2">
      <c r="A347" s="70">
        <v>44655</v>
      </c>
      <c r="B347" s="57">
        <v>2029</v>
      </c>
      <c r="C347" s="57" t="s">
        <v>173</v>
      </c>
      <c r="D347" s="57" t="s">
        <v>177</v>
      </c>
      <c r="E347" s="57" t="s">
        <v>178</v>
      </c>
      <c r="F347" s="57">
        <f t="shared" si="11"/>
        <v>0</v>
      </c>
      <c r="G347" s="57">
        <v>26.572700000000001</v>
      </c>
      <c r="H347" s="57">
        <v>31.842500000000001</v>
      </c>
      <c r="I347" s="57">
        <v>28.983699999999999</v>
      </c>
      <c r="J347" s="33">
        <f t="shared" si="9"/>
        <v>5.2698</v>
      </c>
      <c r="K347" s="33">
        <f t="shared" si="10"/>
        <v>2.4109999999999978</v>
      </c>
    </row>
    <row r="348" spans="1:11" x14ac:dyDescent="0.2">
      <c r="A348" s="70">
        <v>44655</v>
      </c>
      <c r="B348" s="57">
        <v>1478</v>
      </c>
      <c r="C348" s="57" t="s">
        <v>176</v>
      </c>
      <c r="D348" s="57" t="s">
        <v>177</v>
      </c>
      <c r="E348" s="57" t="s">
        <v>178</v>
      </c>
      <c r="F348" s="57">
        <f t="shared" si="11"/>
        <v>0</v>
      </c>
      <c r="G348" s="57">
        <v>26.234100000000002</v>
      </c>
      <c r="H348" s="57">
        <v>30.870899999999999</v>
      </c>
      <c r="I348" s="57">
        <v>27.93</v>
      </c>
      <c r="J348" s="33">
        <f t="shared" si="9"/>
        <v>4.6367999999999974</v>
      </c>
      <c r="K348" s="33">
        <f t="shared" si="10"/>
        <v>1.6958999999999982</v>
      </c>
    </row>
    <row r="349" spans="1:11" x14ac:dyDescent="0.2">
      <c r="A349" s="70">
        <v>44655</v>
      </c>
      <c r="B349" s="57">
        <v>2030</v>
      </c>
      <c r="C349" s="57" t="s">
        <v>173</v>
      </c>
      <c r="D349" s="57" t="s">
        <v>177</v>
      </c>
      <c r="E349" s="57" t="s">
        <v>178</v>
      </c>
      <c r="F349" s="57">
        <f t="shared" si="11"/>
        <v>0</v>
      </c>
      <c r="G349" s="57">
        <v>26.2133</v>
      </c>
      <c r="H349" s="57">
        <v>30.2608</v>
      </c>
      <c r="I349" s="57">
        <v>28.385999999999999</v>
      </c>
      <c r="J349" s="33">
        <f t="shared" si="9"/>
        <v>4.0474999999999994</v>
      </c>
      <c r="K349" s="33">
        <f t="shared" si="10"/>
        <v>2.172699999999999</v>
      </c>
    </row>
    <row r="350" spans="1:11" x14ac:dyDescent="0.2">
      <c r="A350" s="70">
        <v>44655</v>
      </c>
      <c r="B350" s="57">
        <v>2023</v>
      </c>
      <c r="C350" s="57" t="s">
        <v>173</v>
      </c>
      <c r="D350" s="57" t="s">
        <v>174</v>
      </c>
      <c r="E350" s="57" t="s">
        <v>175</v>
      </c>
      <c r="F350" s="57">
        <f t="shared" si="11"/>
        <v>1</v>
      </c>
      <c r="G350" s="57">
        <v>15.5906</v>
      </c>
      <c r="H350" s="57">
        <v>17.511800000000001</v>
      </c>
      <c r="I350" s="57">
        <v>16.482600000000001</v>
      </c>
      <c r="J350" s="33">
        <f t="shared" si="9"/>
        <v>1.9212000000000007</v>
      </c>
      <c r="K350" s="33">
        <f t="shared" si="10"/>
        <v>0.89200000000000124</v>
      </c>
    </row>
    <row r="351" spans="1:11" x14ac:dyDescent="0.2">
      <c r="A351" s="70">
        <v>44650</v>
      </c>
      <c r="B351" s="57">
        <v>2365</v>
      </c>
      <c r="C351" s="57" t="s">
        <v>173</v>
      </c>
      <c r="D351" s="57" t="s">
        <v>177</v>
      </c>
      <c r="E351" s="57" t="s">
        <v>175</v>
      </c>
      <c r="F351" s="57">
        <f t="shared" si="11"/>
        <v>0</v>
      </c>
      <c r="G351" s="57">
        <v>26.439800000000002</v>
      </c>
      <c r="H351" s="57">
        <v>27.059899999999999</v>
      </c>
      <c r="I351" s="57">
        <v>26.555099999999999</v>
      </c>
      <c r="J351" s="33">
        <f t="shared" si="9"/>
        <v>0.62009999999999721</v>
      </c>
      <c r="K351" s="33">
        <f t="shared" si="10"/>
        <v>0.11529999999999774</v>
      </c>
    </row>
    <row r="352" spans="1:11" x14ac:dyDescent="0.2">
      <c r="A352" s="70">
        <v>44650</v>
      </c>
      <c r="B352" s="57">
        <v>2375</v>
      </c>
      <c r="C352" s="57" t="s">
        <v>173</v>
      </c>
      <c r="D352" s="57" t="s">
        <v>174</v>
      </c>
      <c r="E352" s="57" t="s">
        <v>175</v>
      </c>
      <c r="F352" s="57">
        <f t="shared" si="11"/>
        <v>1</v>
      </c>
      <c r="G352" s="57">
        <v>14.8744</v>
      </c>
      <c r="H352" s="57">
        <v>15.871</v>
      </c>
      <c r="I352" s="57">
        <v>15.059100000000001</v>
      </c>
      <c r="J352" s="33">
        <f t="shared" si="9"/>
        <v>0.99660000000000082</v>
      </c>
      <c r="K352" s="33">
        <f t="shared" si="10"/>
        <v>0.1847000000000012</v>
      </c>
    </row>
    <row r="353" spans="1:11" x14ac:dyDescent="0.2">
      <c r="A353" s="70">
        <v>44650</v>
      </c>
      <c r="B353" s="57">
        <v>2380</v>
      </c>
      <c r="C353" s="57" t="s">
        <v>173</v>
      </c>
      <c r="D353" s="57" t="s">
        <v>174</v>
      </c>
      <c r="E353" s="57" t="s">
        <v>178</v>
      </c>
      <c r="F353" s="57">
        <f t="shared" si="11"/>
        <v>1</v>
      </c>
      <c r="G353" s="57">
        <v>26.034500000000001</v>
      </c>
      <c r="H353" s="57">
        <v>34.438800000000001</v>
      </c>
      <c r="I353" s="57">
        <v>30.793399999999998</v>
      </c>
      <c r="J353" s="33">
        <f t="shared" si="9"/>
        <v>8.4042999999999992</v>
      </c>
      <c r="K353" s="33">
        <f t="shared" si="10"/>
        <v>4.758899999999997</v>
      </c>
    </row>
    <row r="354" spans="1:11" x14ac:dyDescent="0.2">
      <c r="A354" s="70">
        <v>44655</v>
      </c>
      <c r="B354" s="57">
        <v>2031</v>
      </c>
      <c r="C354" s="57" t="s">
        <v>60</v>
      </c>
      <c r="D354" s="57" t="s">
        <v>174</v>
      </c>
      <c r="E354" s="57" t="s">
        <v>175</v>
      </c>
      <c r="F354" s="57">
        <f t="shared" si="11"/>
        <v>1</v>
      </c>
      <c r="G354" s="57">
        <v>16.070900000000002</v>
      </c>
      <c r="H354" s="57">
        <v>17.032499999999999</v>
      </c>
      <c r="I354" s="57">
        <v>16.5871</v>
      </c>
      <c r="J354" s="33">
        <f t="shared" si="9"/>
        <v>0.96159999999999712</v>
      </c>
      <c r="K354" s="33">
        <f t="shared" si="10"/>
        <v>0.51619999999999777</v>
      </c>
    </row>
    <row r="355" spans="1:11" x14ac:dyDescent="0.2">
      <c r="A355" s="70">
        <v>44650</v>
      </c>
      <c r="B355" s="57">
        <v>2370</v>
      </c>
      <c r="C355" s="57" t="s">
        <v>173</v>
      </c>
      <c r="D355" s="57" t="s">
        <v>177</v>
      </c>
      <c r="E355" s="57" t="s">
        <v>178</v>
      </c>
      <c r="F355" s="57">
        <f t="shared" si="11"/>
        <v>0</v>
      </c>
      <c r="G355" s="57">
        <v>26.0505</v>
      </c>
      <c r="H355" s="57">
        <v>27.971900000000002</v>
      </c>
      <c r="I355" s="57">
        <v>26.873200000000001</v>
      </c>
      <c r="J355" s="33">
        <f t="shared" si="9"/>
        <v>1.921400000000002</v>
      </c>
      <c r="K355" s="33">
        <f t="shared" si="10"/>
        <v>0.8227000000000011</v>
      </c>
    </row>
    <row r="356" spans="1:11" x14ac:dyDescent="0.2">
      <c r="A356" s="70">
        <v>44655</v>
      </c>
      <c r="B356" s="57">
        <v>2014</v>
      </c>
      <c r="C356" s="57" t="s">
        <v>173</v>
      </c>
      <c r="D356" s="57" t="s">
        <v>177</v>
      </c>
      <c r="E356" s="57" t="s">
        <v>175</v>
      </c>
      <c r="F356" s="57">
        <f t="shared" si="11"/>
        <v>0</v>
      </c>
      <c r="G356" s="57">
        <v>25.6721</v>
      </c>
      <c r="H356" s="57">
        <v>27.161100000000001</v>
      </c>
      <c r="I356" s="57">
        <v>26.0321</v>
      </c>
      <c r="J356" s="33">
        <f t="shared" si="9"/>
        <v>1.4890000000000008</v>
      </c>
      <c r="K356" s="33">
        <f t="shared" si="10"/>
        <v>0.35999999999999943</v>
      </c>
    </row>
    <row r="357" spans="1:11" x14ac:dyDescent="0.2">
      <c r="A357" s="70">
        <v>44650</v>
      </c>
      <c r="B357" s="57">
        <v>2365</v>
      </c>
      <c r="C357" s="57" t="s">
        <v>173</v>
      </c>
      <c r="D357" s="57" t="s">
        <v>174</v>
      </c>
      <c r="E357" s="57" t="s">
        <v>175</v>
      </c>
      <c r="F357" s="57">
        <f t="shared" si="11"/>
        <v>1</v>
      </c>
      <c r="G357" s="57">
        <v>26.3475</v>
      </c>
      <c r="H357" s="57">
        <v>27.494</v>
      </c>
      <c r="I357" s="57">
        <v>26.937899999999999</v>
      </c>
      <c r="J357" s="33">
        <f t="shared" si="9"/>
        <v>1.1464999999999996</v>
      </c>
      <c r="K357" s="33">
        <f t="shared" si="10"/>
        <v>0.59039999999999893</v>
      </c>
    </row>
    <row r="358" spans="1:11" x14ac:dyDescent="0.2">
      <c r="A358" s="70">
        <v>44650</v>
      </c>
      <c r="B358" s="57">
        <v>2370</v>
      </c>
      <c r="C358" s="57" t="s">
        <v>173</v>
      </c>
      <c r="D358" s="57" t="s">
        <v>174</v>
      </c>
      <c r="E358" s="57" t="s">
        <v>175</v>
      </c>
      <c r="F358" s="57">
        <f t="shared" si="11"/>
        <v>1</v>
      </c>
      <c r="G358" s="57">
        <v>25.503299999999999</v>
      </c>
      <c r="H358" s="57">
        <v>27.369299999999999</v>
      </c>
      <c r="I358" s="57">
        <v>26.212700000000002</v>
      </c>
      <c r="J358" s="33">
        <f t="shared" si="9"/>
        <v>1.8659999999999997</v>
      </c>
      <c r="K358" s="33">
        <f t="shared" si="10"/>
        <v>0.70940000000000225</v>
      </c>
    </row>
    <row r="359" spans="1:11" x14ac:dyDescent="0.2">
      <c r="A359" s="70">
        <v>44650</v>
      </c>
      <c r="B359" s="57">
        <v>2372</v>
      </c>
      <c r="C359" s="57" t="s">
        <v>173</v>
      </c>
      <c r="D359" s="57" t="s">
        <v>177</v>
      </c>
      <c r="E359" s="57" t="s">
        <v>175</v>
      </c>
      <c r="F359" s="57">
        <f t="shared" si="11"/>
        <v>0</v>
      </c>
      <c r="G359" s="57">
        <v>25.9879</v>
      </c>
      <c r="H359" s="57">
        <v>27.0092</v>
      </c>
      <c r="I359" s="57">
        <v>26.212800000000001</v>
      </c>
      <c r="J359" s="33">
        <f t="shared" si="9"/>
        <v>1.0213000000000001</v>
      </c>
      <c r="K359" s="33">
        <f t="shared" si="10"/>
        <v>0.22490000000000165</v>
      </c>
    </row>
    <row r="360" spans="1:11" x14ac:dyDescent="0.2">
      <c r="A360" s="70">
        <v>44655</v>
      </c>
      <c r="B360" s="57">
        <v>2087</v>
      </c>
      <c r="C360" s="57" t="s">
        <v>173</v>
      </c>
      <c r="D360" s="57" t="s">
        <v>177</v>
      </c>
      <c r="E360" s="57" t="s">
        <v>178</v>
      </c>
      <c r="F360" s="57">
        <f t="shared" si="11"/>
        <v>0</v>
      </c>
      <c r="G360" s="57">
        <v>25.9665</v>
      </c>
      <c r="H360" s="57">
        <v>30.765499999999999</v>
      </c>
      <c r="I360" s="57">
        <v>27.4922</v>
      </c>
      <c r="J360" s="33">
        <f t="shared" si="9"/>
        <v>4.7989999999999995</v>
      </c>
      <c r="K360" s="33">
        <f t="shared" si="10"/>
        <v>1.5257000000000005</v>
      </c>
    </row>
    <row r="361" spans="1:11" x14ac:dyDescent="0.2">
      <c r="A361" s="70">
        <v>44655</v>
      </c>
      <c r="B361" s="57">
        <v>2030</v>
      </c>
      <c r="C361" s="57" t="s">
        <v>173</v>
      </c>
      <c r="D361" s="57" t="s">
        <v>174</v>
      </c>
      <c r="E361" s="57" t="s">
        <v>175</v>
      </c>
      <c r="F361" s="57">
        <f t="shared" si="11"/>
        <v>1</v>
      </c>
      <c r="G361" s="57">
        <v>26.5608</v>
      </c>
      <c r="H361" s="57">
        <v>27.306999999999999</v>
      </c>
      <c r="I361" s="57">
        <v>27.081399999999999</v>
      </c>
      <c r="J361" s="33">
        <f t="shared" si="9"/>
        <v>0.7461999999999982</v>
      </c>
      <c r="K361" s="33">
        <f t="shared" si="10"/>
        <v>0.52059999999999818</v>
      </c>
    </row>
    <row r="362" spans="1:11" x14ac:dyDescent="0.2">
      <c r="A362" s="70">
        <v>44650</v>
      </c>
      <c r="B362" s="57">
        <v>2345</v>
      </c>
      <c r="C362" s="57" t="s">
        <v>173</v>
      </c>
      <c r="D362" s="57" t="s">
        <v>174</v>
      </c>
      <c r="E362" s="57" t="s">
        <v>178</v>
      </c>
      <c r="F362" s="57">
        <f t="shared" si="11"/>
        <v>1</v>
      </c>
      <c r="G362" s="57">
        <v>25.953800000000001</v>
      </c>
      <c r="H362" s="57">
        <v>34.104100000000003</v>
      </c>
      <c r="I362" s="57">
        <v>30.517199999999999</v>
      </c>
      <c r="J362" s="33">
        <f t="shared" si="9"/>
        <v>8.1503000000000014</v>
      </c>
      <c r="K362" s="33">
        <f t="shared" si="10"/>
        <v>4.5633999999999979</v>
      </c>
    </row>
    <row r="363" spans="1:11" x14ac:dyDescent="0.2">
      <c r="A363" s="70">
        <v>44650</v>
      </c>
      <c r="B363" s="57">
        <v>2365</v>
      </c>
      <c r="C363" s="57" t="s">
        <v>173</v>
      </c>
      <c r="D363" s="57" t="s">
        <v>177</v>
      </c>
      <c r="E363" s="57" t="s">
        <v>178</v>
      </c>
      <c r="F363" s="57">
        <f t="shared" si="11"/>
        <v>0</v>
      </c>
      <c r="G363" s="57">
        <v>26.138999999999999</v>
      </c>
      <c r="H363" s="57">
        <v>30.5764</v>
      </c>
      <c r="I363" s="57">
        <v>28.0701</v>
      </c>
      <c r="J363" s="33">
        <f t="shared" si="9"/>
        <v>4.4374000000000002</v>
      </c>
      <c r="K363" s="33">
        <f t="shared" si="10"/>
        <v>1.9311000000000007</v>
      </c>
    </row>
    <row r="364" spans="1:11" x14ac:dyDescent="0.2">
      <c r="A364" s="70">
        <v>44650</v>
      </c>
      <c r="B364" s="57">
        <v>2372</v>
      </c>
      <c r="C364" s="57" t="s">
        <v>173</v>
      </c>
      <c r="D364" s="57" t="s">
        <v>174</v>
      </c>
      <c r="E364" s="57" t="s">
        <v>175</v>
      </c>
      <c r="F364" s="57">
        <f t="shared" si="11"/>
        <v>1</v>
      </c>
      <c r="G364" s="57">
        <v>25.610800000000001</v>
      </c>
      <c r="H364" s="57">
        <v>26.471900000000002</v>
      </c>
      <c r="I364" s="57">
        <v>26.0077</v>
      </c>
      <c r="J364" s="33">
        <f t="shared" si="9"/>
        <v>0.86110000000000042</v>
      </c>
      <c r="K364" s="33">
        <f t="shared" si="10"/>
        <v>0.3968999999999987</v>
      </c>
    </row>
    <row r="365" spans="1:11" x14ac:dyDescent="0.2">
      <c r="A365" s="70">
        <v>44655</v>
      </c>
      <c r="B365" s="57">
        <v>2026</v>
      </c>
      <c r="C365" s="57" t="s">
        <v>173</v>
      </c>
      <c r="D365" s="57" t="s">
        <v>174</v>
      </c>
      <c r="E365" s="57" t="s">
        <v>175</v>
      </c>
      <c r="F365" s="57">
        <f t="shared" si="11"/>
        <v>1</v>
      </c>
      <c r="G365" s="57">
        <v>25.777999999999999</v>
      </c>
      <c r="H365" s="57">
        <v>25.523299999999999</v>
      </c>
      <c r="I365" s="57">
        <v>25.852499999999999</v>
      </c>
      <c r="J365" s="33">
        <f t="shared" si="9"/>
        <v>-0.2546999999999997</v>
      </c>
      <c r="K365" s="33">
        <f t="shared" si="10"/>
        <v>7.4500000000000455E-2</v>
      </c>
    </row>
    <row r="366" spans="1:11" x14ac:dyDescent="0.2">
      <c r="A366" s="70">
        <v>44655</v>
      </c>
      <c r="B366" s="57">
        <v>2089</v>
      </c>
      <c r="C366" s="57" t="s">
        <v>173</v>
      </c>
      <c r="D366" s="57" t="s">
        <v>174</v>
      </c>
      <c r="E366" s="57" t="s">
        <v>178</v>
      </c>
      <c r="F366" s="57">
        <f t="shared" si="11"/>
        <v>1</v>
      </c>
      <c r="G366" s="57">
        <v>26.316800000000001</v>
      </c>
      <c r="H366" s="57">
        <v>34.2164</v>
      </c>
      <c r="I366" s="57">
        <v>30.4407</v>
      </c>
      <c r="J366" s="33">
        <f t="shared" si="9"/>
        <v>7.8995999999999995</v>
      </c>
      <c r="K366" s="33">
        <f t="shared" si="10"/>
        <v>4.123899999999999</v>
      </c>
    </row>
    <row r="367" spans="1:11" x14ac:dyDescent="0.2">
      <c r="A367" s="70">
        <v>44650</v>
      </c>
      <c r="B367" s="57">
        <v>2379</v>
      </c>
      <c r="C367" s="57" t="s">
        <v>173</v>
      </c>
      <c r="D367" s="57" t="s">
        <v>177</v>
      </c>
      <c r="E367" s="57" t="s">
        <v>178</v>
      </c>
      <c r="F367" s="57">
        <f t="shared" si="11"/>
        <v>0</v>
      </c>
      <c r="G367" s="57">
        <v>26.1053</v>
      </c>
      <c r="H367" s="57">
        <v>30.333600000000001</v>
      </c>
      <c r="I367" s="57">
        <v>28.002500000000001</v>
      </c>
      <c r="J367" s="33">
        <f t="shared" si="9"/>
        <v>4.2283000000000008</v>
      </c>
      <c r="K367" s="33">
        <f t="shared" si="10"/>
        <v>1.8972000000000016</v>
      </c>
    </row>
    <row r="368" spans="1:11" x14ac:dyDescent="0.2">
      <c r="A368" s="70">
        <v>44650</v>
      </c>
      <c r="B368" s="57">
        <v>2343</v>
      </c>
      <c r="C368" s="57" t="s">
        <v>173</v>
      </c>
      <c r="D368" s="57" t="s">
        <v>174</v>
      </c>
      <c r="E368" s="57" t="s">
        <v>175</v>
      </c>
      <c r="F368" s="57">
        <f t="shared" si="11"/>
        <v>1</v>
      </c>
      <c r="G368" s="57">
        <v>25.774799999999999</v>
      </c>
      <c r="H368" s="57">
        <v>26.225899999999999</v>
      </c>
      <c r="I368" s="57">
        <v>25.974900000000002</v>
      </c>
      <c r="J368" s="33">
        <f t="shared" si="9"/>
        <v>0.45110000000000028</v>
      </c>
      <c r="K368" s="33">
        <f t="shared" si="10"/>
        <v>0.20010000000000261</v>
      </c>
    </row>
    <row r="369" spans="1:12" x14ac:dyDescent="0.2">
      <c r="A369" s="70">
        <v>44655</v>
      </c>
      <c r="B369" s="57">
        <v>2029</v>
      </c>
      <c r="C369" s="57" t="s">
        <v>173</v>
      </c>
      <c r="D369" s="57" t="s">
        <v>174</v>
      </c>
      <c r="E369" s="57" t="s">
        <v>178</v>
      </c>
      <c r="F369" s="57">
        <f t="shared" si="11"/>
        <v>1</v>
      </c>
      <c r="G369" s="57">
        <v>26.168299999999999</v>
      </c>
      <c r="H369" s="57">
        <v>28.5474</v>
      </c>
      <c r="I369" s="57">
        <v>27.626000000000001</v>
      </c>
      <c r="J369" s="33">
        <f t="shared" si="9"/>
        <v>2.3791000000000011</v>
      </c>
      <c r="K369" s="33">
        <f t="shared" si="10"/>
        <v>1.4577000000000027</v>
      </c>
    </row>
    <row r="370" spans="1:12" x14ac:dyDescent="0.2">
      <c r="A370" s="70">
        <v>44655</v>
      </c>
      <c r="B370" s="57">
        <v>2014</v>
      </c>
      <c r="C370" s="57" t="s">
        <v>176</v>
      </c>
      <c r="D370" s="57" t="s">
        <v>177</v>
      </c>
      <c r="E370" s="57" t="s">
        <v>175</v>
      </c>
      <c r="F370" s="57">
        <f t="shared" si="11"/>
        <v>0</v>
      </c>
      <c r="G370" s="57">
        <v>15.1975</v>
      </c>
      <c r="H370" s="57">
        <v>16.187100000000001</v>
      </c>
      <c r="I370" s="57">
        <v>15.517899999999999</v>
      </c>
      <c r="J370" s="33">
        <f t="shared" si="9"/>
        <v>0.98960000000000115</v>
      </c>
      <c r="K370" s="33">
        <f t="shared" si="10"/>
        <v>0.32039999999999935</v>
      </c>
    </row>
    <row r="371" spans="1:12" x14ac:dyDescent="0.2">
      <c r="A371" s="70">
        <v>44670</v>
      </c>
      <c r="B371" s="57" t="s">
        <v>181</v>
      </c>
      <c r="C371" s="57" t="s">
        <v>176</v>
      </c>
      <c r="D371" s="57" t="s">
        <v>177</v>
      </c>
      <c r="E371" s="57" t="s">
        <v>178</v>
      </c>
      <c r="F371" s="57">
        <v>0</v>
      </c>
      <c r="G371" s="57">
        <v>66.964600000000004</v>
      </c>
      <c r="H371" s="57">
        <v>76.603700000000003</v>
      </c>
      <c r="I371" s="57">
        <v>69.060599999999994</v>
      </c>
      <c r="J371" s="33">
        <f t="shared" si="9"/>
        <v>9.6390999999999991</v>
      </c>
      <c r="K371" s="33">
        <f t="shared" si="10"/>
        <v>2.0959999999999894</v>
      </c>
      <c r="L371" s="57">
        <v>2</v>
      </c>
    </row>
    <row r="372" spans="1:12" x14ac:dyDescent="0.2">
      <c r="A372" s="70">
        <v>44677</v>
      </c>
      <c r="B372" s="57" t="s">
        <v>142</v>
      </c>
      <c r="C372" s="57" t="s">
        <v>176</v>
      </c>
      <c r="D372" s="57" t="s">
        <v>177</v>
      </c>
      <c r="E372" s="57" t="s">
        <v>175</v>
      </c>
      <c r="F372" s="57">
        <f t="shared" ref="F372:F374" si="12">IF(D372="old",1,0)</f>
        <v>0</v>
      </c>
      <c r="G372" s="57">
        <v>67.216899999999995</v>
      </c>
      <c r="H372" s="57">
        <v>69.271699999999996</v>
      </c>
      <c r="I372" s="57">
        <v>67.8523</v>
      </c>
      <c r="J372" s="33">
        <f t="shared" si="9"/>
        <v>2.0548000000000002</v>
      </c>
      <c r="K372" s="33">
        <f t="shared" si="10"/>
        <v>0.63540000000000418</v>
      </c>
      <c r="L372" s="57">
        <v>5</v>
      </c>
    </row>
    <row r="373" spans="1:12" x14ac:dyDescent="0.2">
      <c r="A373" s="70">
        <v>44677</v>
      </c>
      <c r="B373" s="57" t="s">
        <v>142</v>
      </c>
      <c r="C373" s="57" t="s">
        <v>176</v>
      </c>
      <c r="D373" s="57" t="s">
        <v>177</v>
      </c>
      <c r="E373" s="57" t="s">
        <v>175</v>
      </c>
      <c r="F373" s="57">
        <f t="shared" si="12"/>
        <v>0</v>
      </c>
      <c r="G373" s="57">
        <v>68.078000000000003</v>
      </c>
      <c r="H373" s="57">
        <v>69.290499999999994</v>
      </c>
      <c r="I373" s="57">
        <v>68.492999999999995</v>
      </c>
      <c r="J373" s="33">
        <f t="shared" si="9"/>
        <v>1.2124999999999915</v>
      </c>
      <c r="K373" s="33">
        <f t="shared" si="10"/>
        <v>0.41499999999999204</v>
      </c>
      <c r="L373" s="57">
        <v>4</v>
      </c>
    </row>
    <row r="374" spans="1:12" x14ac:dyDescent="0.2">
      <c r="A374" s="70">
        <v>44677</v>
      </c>
      <c r="B374" s="57" t="s">
        <v>142</v>
      </c>
      <c r="C374" s="57" t="s">
        <v>176</v>
      </c>
      <c r="D374" s="57" t="s">
        <v>177</v>
      </c>
      <c r="E374" s="57" t="s">
        <v>175</v>
      </c>
      <c r="F374" s="57">
        <f t="shared" si="12"/>
        <v>0</v>
      </c>
      <c r="G374" s="57">
        <v>68.185299999999998</v>
      </c>
      <c r="H374" s="57">
        <v>69.570499999999996</v>
      </c>
      <c r="I374" s="57">
        <v>68.576499999999996</v>
      </c>
      <c r="J374" s="33">
        <f t="shared" si="9"/>
        <v>1.3851999999999975</v>
      </c>
      <c r="K374" s="33">
        <f t="shared" si="10"/>
        <v>0.39119999999999777</v>
      </c>
      <c r="L374" s="57">
        <v>3</v>
      </c>
    </row>
    <row r="375" spans="1:12" x14ac:dyDescent="0.2">
      <c r="A375" s="70">
        <v>44670</v>
      </c>
      <c r="B375" s="57" t="s">
        <v>182</v>
      </c>
      <c r="C375" s="57" t="s">
        <v>176</v>
      </c>
      <c r="D375" s="57" t="s">
        <v>177</v>
      </c>
      <c r="E375" s="57" t="s">
        <v>175</v>
      </c>
      <c r="F375" s="57">
        <v>0</v>
      </c>
      <c r="G375" s="57">
        <v>68.192499999999995</v>
      </c>
      <c r="H375" s="57">
        <v>70.078199999999995</v>
      </c>
      <c r="I375" s="57">
        <v>68.737499999999997</v>
      </c>
      <c r="J375" s="33">
        <f t="shared" si="9"/>
        <v>1.8856999999999999</v>
      </c>
      <c r="K375" s="33">
        <f t="shared" si="10"/>
        <v>0.54500000000000171</v>
      </c>
      <c r="L375" s="57">
        <v>4</v>
      </c>
    </row>
    <row r="376" spans="1:12" x14ac:dyDescent="0.2">
      <c r="A376" s="70">
        <v>44670</v>
      </c>
      <c r="B376" s="57" t="s">
        <v>181</v>
      </c>
      <c r="C376" s="57" t="s">
        <v>176</v>
      </c>
      <c r="D376" s="57" t="s">
        <v>177</v>
      </c>
      <c r="E376" s="57" t="s">
        <v>178</v>
      </c>
      <c r="F376" s="57">
        <f t="shared" ref="F376:F630" si="13">IF(D376="old",1,0)</f>
        <v>0</v>
      </c>
      <c r="G376" s="57">
        <v>68.274100000000004</v>
      </c>
      <c r="H376" s="57">
        <v>79.684799999999996</v>
      </c>
      <c r="I376" s="57">
        <v>70.919399999999996</v>
      </c>
      <c r="J376" s="33">
        <f t="shared" si="9"/>
        <v>11.410699999999991</v>
      </c>
      <c r="K376" s="33">
        <f t="shared" si="10"/>
        <v>2.6452999999999918</v>
      </c>
      <c r="L376" s="57">
        <v>2</v>
      </c>
    </row>
    <row r="377" spans="1:12" x14ac:dyDescent="0.2">
      <c r="A377" s="70">
        <v>44677</v>
      </c>
      <c r="B377" s="57" t="s">
        <v>181</v>
      </c>
      <c r="C377" s="57" t="s">
        <v>176</v>
      </c>
      <c r="D377" s="57" t="s">
        <v>177</v>
      </c>
      <c r="E377" s="57" t="s">
        <v>178</v>
      </c>
      <c r="F377" s="57">
        <f t="shared" si="13"/>
        <v>0</v>
      </c>
      <c r="G377" s="57">
        <v>67.882099999999994</v>
      </c>
      <c r="H377" s="57">
        <v>79.841499999999996</v>
      </c>
      <c r="I377" s="57">
        <v>70.807900000000004</v>
      </c>
      <c r="J377" s="33">
        <f t="shared" si="9"/>
        <v>11.959400000000002</v>
      </c>
      <c r="K377" s="33">
        <f t="shared" si="10"/>
        <v>2.9258000000000095</v>
      </c>
      <c r="L377" s="57">
        <v>5</v>
      </c>
    </row>
    <row r="378" spans="1:12" x14ac:dyDescent="0.2">
      <c r="A378" s="70">
        <v>44670</v>
      </c>
      <c r="B378" s="57" t="s">
        <v>181</v>
      </c>
      <c r="C378" s="57" t="s">
        <v>176</v>
      </c>
      <c r="D378" s="57" t="s">
        <v>177</v>
      </c>
      <c r="E378" s="57" t="s">
        <v>178</v>
      </c>
      <c r="F378" s="57">
        <f t="shared" si="13"/>
        <v>0</v>
      </c>
      <c r="G378" s="57">
        <v>66.909599999999998</v>
      </c>
      <c r="H378" s="57">
        <v>75.752300000000005</v>
      </c>
      <c r="I378" s="57">
        <v>69.328199999999995</v>
      </c>
      <c r="J378" s="33">
        <f t="shared" si="9"/>
        <v>8.8427000000000078</v>
      </c>
      <c r="K378" s="33">
        <f t="shared" si="10"/>
        <v>2.4185999999999979</v>
      </c>
      <c r="L378" s="57">
        <v>1</v>
      </c>
    </row>
    <row r="379" spans="1:12" x14ac:dyDescent="0.2">
      <c r="A379" s="70">
        <v>44677</v>
      </c>
      <c r="B379" s="57" t="s">
        <v>142</v>
      </c>
      <c r="C379" s="57" t="s">
        <v>176</v>
      </c>
      <c r="D379" s="57" t="s">
        <v>177</v>
      </c>
      <c r="E379" s="57" t="s">
        <v>175</v>
      </c>
      <c r="F379" s="57">
        <f t="shared" si="13"/>
        <v>0</v>
      </c>
      <c r="G379" s="57">
        <v>67.792500000000004</v>
      </c>
      <c r="H379" s="57">
        <v>68.8964</v>
      </c>
      <c r="I379" s="57">
        <v>68.207300000000004</v>
      </c>
      <c r="J379" s="33">
        <f t="shared" si="9"/>
        <v>1.1038999999999959</v>
      </c>
      <c r="K379" s="33">
        <f t="shared" si="10"/>
        <v>0.41479999999999961</v>
      </c>
      <c r="L379" s="57">
        <v>1</v>
      </c>
    </row>
    <row r="380" spans="1:12" x14ac:dyDescent="0.2">
      <c r="A380" s="70">
        <v>44677</v>
      </c>
      <c r="B380" s="57" t="s">
        <v>181</v>
      </c>
      <c r="C380" s="57" t="s">
        <v>176</v>
      </c>
      <c r="D380" s="57" t="s">
        <v>177</v>
      </c>
      <c r="E380" s="57" t="s">
        <v>178</v>
      </c>
      <c r="F380" s="57">
        <f t="shared" si="13"/>
        <v>0</v>
      </c>
      <c r="G380" s="57">
        <v>67.2012</v>
      </c>
      <c r="H380" s="57">
        <v>73.342799999999997</v>
      </c>
      <c r="I380" s="57">
        <v>68.720500000000001</v>
      </c>
      <c r="J380" s="33">
        <f t="shared" si="9"/>
        <v>6.1415999999999968</v>
      </c>
      <c r="K380" s="33">
        <f t="shared" si="10"/>
        <v>1.5193000000000012</v>
      </c>
      <c r="L380" s="57">
        <v>1</v>
      </c>
    </row>
    <row r="381" spans="1:12" x14ac:dyDescent="0.2">
      <c r="A381" s="70">
        <v>44670</v>
      </c>
      <c r="B381" s="57" t="s">
        <v>182</v>
      </c>
      <c r="C381" s="57" t="s">
        <v>176</v>
      </c>
      <c r="D381" s="57" t="s">
        <v>177</v>
      </c>
      <c r="E381" s="57" t="s">
        <v>175</v>
      </c>
      <c r="F381" s="57">
        <f t="shared" si="13"/>
        <v>0</v>
      </c>
      <c r="G381" s="57">
        <v>68.914199999999994</v>
      </c>
      <c r="H381" s="57">
        <v>70.559200000000004</v>
      </c>
      <c r="I381" s="57">
        <v>69.424899999999994</v>
      </c>
      <c r="J381" s="33">
        <f t="shared" si="9"/>
        <v>1.6450000000000102</v>
      </c>
      <c r="K381" s="33">
        <f t="shared" si="10"/>
        <v>0.51069999999999993</v>
      </c>
      <c r="L381" s="57">
        <v>3</v>
      </c>
    </row>
    <row r="382" spans="1:12" x14ac:dyDescent="0.2">
      <c r="A382" s="70">
        <v>44677</v>
      </c>
      <c r="B382" s="57" t="s">
        <v>182</v>
      </c>
      <c r="C382" s="57" t="s">
        <v>176</v>
      </c>
      <c r="D382" s="57" t="s">
        <v>177</v>
      </c>
      <c r="E382" s="57" t="s">
        <v>178</v>
      </c>
      <c r="F382" s="57">
        <f t="shared" si="13"/>
        <v>0</v>
      </c>
      <c r="G382" s="57">
        <v>66.797799999999995</v>
      </c>
      <c r="H382" s="57">
        <v>74.615499999999997</v>
      </c>
      <c r="I382" s="57">
        <v>69.076400000000007</v>
      </c>
      <c r="J382" s="33">
        <f t="shared" si="9"/>
        <v>7.8177000000000021</v>
      </c>
      <c r="K382" s="33">
        <f t="shared" si="10"/>
        <v>2.2786000000000115</v>
      </c>
      <c r="L382" s="57">
        <v>5</v>
      </c>
    </row>
    <row r="383" spans="1:12" x14ac:dyDescent="0.2">
      <c r="A383" s="70">
        <v>44677</v>
      </c>
      <c r="B383" s="57" t="s">
        <v>181</v>
      </c>
      <c r="C383" s="57" t="s">
        <v>176</v>
      </c>
      <c r="D383" s="57" t="s">
        <v>177</v>
      </c>
      <c r="E383" s="57" t="s">
        <v>178</v>
      </c>
      <c r="F383" s="57">
        <f t="shared" si="13"/>
        <v>0</v>
      </c>
      <c r="G383" s="57">
        <v>68.023200000000003</v>
      </c>
      <c r="H383" s="57">
        <v>77.156800000000004</v>
      </c>
      <c r="I383" s="57">
        <v>69.949600000000004</v>
      </c>
      <c r="J383" s="33">
        <f t="shared" si="9"/>
        <v>9.1336000000000013</v>
      </c>
      <c r="K383" s="33">
        <f t="shared" si="10"/>
        <v>1.926400000000001</v>
      </c>
      <c r="L383" s="57">
        <v>2</v>
      </c>
    </row>
    <row r="384" spans="1:12" x14ac:dyDescent="0.2">
      <c r="A384" s="70">
        <v>44670</v>
      </c>
      <c r="B384" s="57" t="s">
        <v>142</v>
      </c>
      <c r="C384" s="57" t="s">
        <v>176</v>
      </c>
      <c r="D384" s="57" t="s">
        <v>177</v>
      </c>
      <c r="E384" s="57" t="s">
        <v>175</v>
      </c>
      <c r="F384" s="57">
        <f t="shared" si="13"/>
        <v>0</v>
      </c>
      <c r="G384" s="57">
        <v>68.241799999999998</v>
      </c>
      <c r="H384" s="57">
        <v>69.927700000000002</v>
      </c>
      <c r="I384" s="57">
        <v>68.634100000000004</v>
      </c>
      <c r="J384" s="33">
        <f t="shared" si="9"/>
        <v>1.6859000000000037</v>
      </c>
      <c r="K384" s="33">
        <f t="shared" si="10"/>
        <v>0.39230000000000587</v>
      </c>
      <c r="L384" s="57">
        <v>3</v>
      </c>
    </row>
    <row r="385" spans="1:12" x14ac:dyDescent="0.2">
      <c r="A385" s="70">
        <v>44670</v>
      </c>
      <c r="B385" s="57" t="s">
        <v>142</v>
      </c>
      <c r="C385" s="57" t="s">
        <v>176</v>
      </c>
      <c r="D385" s="57" t="s">
        <v>177</v>
      </c>
      <c r="E385" s="57" t="s">
        <v>175</v>
      </c>
      <c r="F385" s="57">
        <f t="shared" si="13"/>
        <v>0</v>
      </c>
      <c r="G385" s="57">
        <v>67.918899999999994</v>
      </c>
      <c r="H385" s="57">
        <v>71.328800000000001</v>
      </c>
      <c r="I385" s="57">
        <v>69.029700000000005</v>
      </c>
      <c r="J385" s="33">
        <f t="shared" si="9"/>
        <v>3.4099000000000075</v>
      </c>
      <c r="K385" s="33">
        <f t="shared" si="10"/>
        <v>1.1108000000000118</v>
      </c>
      <c r="L385" s="57">
        <v>4</v>
      </c>
    </row>
    <row r="386" spans="1:12" x14ac:dyDescent="0.2">
      <c r="A386" s="70">
        <v>44677</v>
      </c>
      <c r="B386" s="57" t="s">
        <v>181</v>
      </c>
      <c r="C386" s="57" t="s">
        <v>176</v>
      </c>
      <c r="D386" s="57" t="s">
        <v>177</v>
      </c>
      <c r="E386" s="57" t="s">
        <v>178</v>
      </c>
      <c r="F386" s="57">
        <f t="shared" si="13"/>
        <v>0</v>
      </c>
      <c r="G386" s="57">
        <v>67.606800000000007</v>
      </c>
      <c r="H386" s="57">
        <v>78.365499999999997</v>
      </c>
      <c r="I386" s="57">
        <v>69.938400000000001</v>
      </c>
      <c r="J386" s="33">
        <f t="shared" si="9"/>
        <v>10.75869999999999</v>
      </c>
      <c r="K386" s="33">
        <f t="shared" si="10"/>
        <v>2.3315999999999946</v>
      </c>
      <c r="L386" s="57">
        <v>2</v>
      </c>
    </row>
    <row r="387" spans="1:12" x14ac:dyDescent="0.2">
      <c r="A387" s="70">
        <v>44677</v>
      </c>
      <c r="B387" s="57" t="s">
        <v>182</v>
      </c>
      <c r="C387" s="57" t="s">
        <v>176</v>
      </c>
      <c r="D387" s="57" t="s">
        <v>177</v>
      </c>
      <c r="E387" s="57" t="s">
        <v>178</v>
      </c>
      <c r="F387" s="57">
        <f t="shared" si="13"/>
        <v>0</v>
      </c>
      <c r="G387" s="57">
        <v>67.127600000000001</v>
      </c>
      <c r="H387" s="57">
        <v>72.800700000000006</v>
      </c>
      <c r="I387" s="57">
        <v>68.979399999999998</v>
      </c>
      <c r="J387" s="33">
        <f t="shared" si="9"/>
        <v>5.6731000000000051</v>
      </c>
      <c r="K387" s="33">
        <f t="shared" si="10"/>
        <v>1.8517999999999972</v>
      </c>
      <c r="L387" s="57">
        <v>4</v>
      </c>
    </row>
    <row r="388" spans="1:12" x14ac:dyDescent="0.2">
      <c r="A388" s="70">
        <v>44677</v>
      </c>
      <c r="B388" s="57" t="s">
        <v>182</v>
      </c>
      <c r="C388" s="57" t="s">
        <v>176</v>
      </c>
      <c r="D388" s="57" t="s">
        <v>177</v>
      </c>
      <c r="E388" s="57" t="s">
        <v>178</v>
      </c>
      <c r="F388" s="57">
        <f t="shared" si="13"/>
        <v>0</v>
      </c>
      <c r="G388" s="57">
        <v>67.433300000000003</v>
      </c>
      <c r="H388" s="57">
        <v>71.228999999999999</v>
      </c>
      <c r="I388" s="57">
        <v>68.814400000000006</v>
      </c>
      <c r="J388" s="33">
        <f t="shared" si="9"/>
        <v>3.7956999999999965</v>
      </c>
      <c r="K388" s="33">
        <f t="shared" si="10"/>
        <v>1.3811000000000035</v>
      </c>
      <c r="L388" s="57">
        <v>3</v>
      </c>
    </row>
    <row r="389" spans="1:12" x14ac:dyDescent="0.2">
      <c r="A389" s="70">
        <v>44670</v>
      </c>
      <c r="B389" s="57" t="s">
        <v>142</v>
      </c>
      <c r="C389" s="57" t="s">
        <v>176</v>
      </c>
      <c r="D389" s="57" t="s">
        <v>177</v>
      </c>
      <c r="E389" s="57" t="s">
        <v>175</v>
      </c>
      <c r="F389" s="57">
        <f t="shared" si="13"/>
        <v>0</v>
      </c>
      <c r="G389" s="57">
        <v>67.415000000000006</v>
      </c>
      <c r="H389" s="57">
        <v>69.258099999999999</v>
      </c>
      <c r="I389" s="57">
        <v>68.046899999999994</v>
      </c>
      <c r="J389" s="33">
        <f t="shared" si="9"/>
        <v>1.8430999999999926</v>
      </c>
      <c r="K389" s="33">
        <f t="shared" si="10"/>
        <v>0.63189999999998747</v>
      </c>
      <c r="L389" s="57">
        <v>1</v>
      </c>
    </row>
    <row r="390" spans="1:12" x14ac:dyDescent="0.2">
      <c r="A390" s="70">
        <v>44670</v>
      </c>
      <c r="B390" s="57" t="s">
        <v>142</v>
      </c>
      <c r="C390" s="57" t="s">
        <v>176</v>
      </c>
      <c r="D390" s="57" t="s">
        <v>177</v>
      </c>
      <c r="E390" s="57" t="s">
        <v>178</v>
      </c>
      <c r="F390" s="57">
        <f t="shared" si="13"/>
        <v>0</v>
      </c>
      <c r="G390" s="57">
        <v>7.3625999999999996</v>
      </c>
      <c r="H390" s="57">
        <v>11.3179</v>
      </c>
      <c r="I390" s="57">
        <v>8.6608000000000001</v>
      </c>
      <c r="J390" s="33">
        <f t="shared" si="9"/>
        <v>3.9553000000000003</v>
      </c>
      <c r="K390" s="33">
        <f t="shared" si="10"/>
        <v>1.2982000000000005</v>
      </c>
      <c r="L390" s="57">
        <v>3</v>
      </c>
    </row>
    <row r="391" spans="1:12" x14ac:dyDescent="0.2">
      <c r="A391" s="70">
        <v>44677</v>
      </c>
      <c r="B391" s="57" t="s">
        <v>142</v>
      </c>
      <c r="C391" s="57" t="s">
        <v>176</v>
      </c>
      <c r="D391" s="57" t="s">
        <v>177</v>
      </c>
      <c r="E391" s="57" t="s">
        <v>178</v>
      </c>
      <c r="F391" s="57">
        <f t="shared" si="13"/>
        <v>0</v>
      </c>
      <c r="G391" s="57">
        <v>7.3578000000000001</v>
      </c>
      <c r="H391" s="57">
        <v>13.9604</v>
      </c>
      <c r="I391" s="57">
        <v>9.3500999999999994</v>
      </c>
      <c r="J391" s="33">
        <f t="shared" si="9"/>
        <v>6.6025999999999998</v>
      </c>
      <c r="K391" s="33">
        <f t="shared" si="10"/>
        <v>1.9922999999999993</v>
      </c>
      <c r="L391" s="57">
        <v>5</v>
      </c>
    </row>
    <row r="392" spans="1:12" x14ac:dyDescent="0.2">
      <c r="A392" s="70">
        <v>44663</v>
      </c>
      <c r="B392" s="57" t="s">
        <v>182</v>
      </c>
      <c r="C392" s="57" t="s">
        <v>176</v>
      </c>
      <c r="D392" s="57" t="s">
        <v>177</v>
      </c>
      <c r="E392" s="57" t="s">
        <v>175</v>
      </c>
      <c r="F392" s="57">
        <f t="shared" si="13"/>
        <v>0</v>
      </c>
      <c r="G392" s="57">
        <v>7.2977999999999996</v>
      </c>
      <c r="H392" s="57">
        <v>8.1610999999999994</v>
      </c>
      <c r="I392" s="57">
        <v>10.181699999999999</v>
      </c>
      <c r="J392" s="33">
        <f t="shared" si="9"/>
        <v>0.86329999999999973</v>
      </c>
      <c r="K392" s="33">
        <f t="shared" si="10"/>
        <v>2.8838999999999997</v>
      </c>
      <c r="L392" s="57">
        <v>4</v>
      </c>
    </row>
    <row r="393" spans="1:12" x14ac:dyDescent="0.2">
      <c r="A393" s="70">
        <v>44655</v>
      </c>
      <c r="B393" s="57">
        <v>2375</v>
      </c>
      <c r="C393" s="57" t="s">
        <v>173</v>
      </c>
      <c r="D393" s="57" t="s">
        <v>177</v>
      </c>
      <c r="E393" s="57" t="s">
        <v>175</v>
      </c>
      <c r="F393" s="57">
        <f t="shared" si="13"/>
        <v>0</v>
      </c>
      <c r="G393" s="57">
        <v>0</v>
      </c>
      <c r="H393" s="57">
        <v>0.82579999999999998</v>
      </c>
      <c r="I393" s="57">
        <v>0.36270000000000002</v>
      </c>
      <c r="J393" s="33">
        <f t="shared" si="9"/>
        <v>0.82579999999999998</v>
      </c>
      <c r="K393" s="33">
        <f t="shared" si="10"/>
        <v>0.36270000000000002</v>
      </c>
    </row>
    <row r="394" spans="1:12" x14ac:dyDescent="0.2">
      <c r="A394" s="70">
        <v>44670</v>
      </c>
      <c r="B394" s="57" t="s">
        <v>142</v>
      </c>
      <c r="C394" s="57" t="s">
        <v>176</v>
      </c>
      <c r="D394" s="57" t="s">
        <v>177</v>
      </c>
      <c r="E394" s="57" t="s">
        <v>178</v>
      </c>
      <c r="F394" s="57">
        <f t="shared" si="13"/>
        <v>0</v>
      </c>
      <c r="G394" s="57">
        <v>7.3451000000000004</v>
      </c>
      <c r="H394" s="57">
        <v>13.1844</v>
      </c>
      <c r="I394" s="57">
        <v>9.5416000000000007</v>
      </c>
      <c r="J394" s="33">
        <f t="shared" si="9"/>
        <v>5.8392999999999997</v>
      </c>
      <c r="K394" s="33">
        <f t="shared" si="10"/>
        <v>2.1965000000000003</v>
      </c>
      <c r="L394" s="57">
        <v>1</v>
      </c>
    </row>
    <row r="395" spans="1:12" x14ac:dyDescent="0.2">
      <c r="A395" s="70">
        <v>44655</v>
      </c>
      <c r="B395" s="57">
        <v>2365</v>
      </c>
      <c r="C395" s="57" t="s">
        <v>173</v>
      </c>
      <c r="D395" s="57" t="s">
        <v>174</v>
      </c>
      <c r="E395" s="57" t="s">
        <v>175</v>
      </c>
      <c r="F395" s="57">
        <f t="shared" si="13"/>
        <v>1</v>
      </c>
      <c r="G395" s="57">
        <v>6.2595000000000001</v>
      </c>
      <c r="H395" s="57">
        <v>6.6277999999999997</v>
      </c>
      <c r="I395" s="57">
        <v>6.4695</v>
      </c>
      <c r="J395" s="33">
        <f t="shared" si="9"/>
        <v>0.36829999999999963</v>
      </c>
      <c r="K395" s="33">
        <f t="shared" si="10"/>
        <v>0.20999999999999996</v>
      </c>
    </row>
    <row r="396" spans="1:12" x14ac:dyDescent="0.2">
      <c r="A396" s="70">
        <v>44655</v>
      </c>
      <c r="B396" s="57">
        <v>2008</v>
      </c>
      <c r="C396" s="57" t="s">
        <v>176</v>
      </c>
      <c r="D396" s="57" t="s">
        <v>177</v>
      </c>
      <c r="E396" s="57" t="s">
        <v>175</v>
      </c>
      <c r="F396" s="57">
        <f t="shared" si="13"/>
        <v>0</v>
      </c>
      <c r="G396" s="57">
        <v>6.3135000000000003</v>
      </c>
      <c r="H396" s="57">
        <v>6.6151999999999997</v>
      </c>
      <c r="I396" s="57">
        <v>6.4550000000000001</v>
      </c>
      <c r="J396" s="33">
        <f t="shared" si="9"/>
        <v>0.30169999999999941</v>
      </c>
      <c r="K396" s="33">
        <f t="shared" si="10"/>
        <v>0.14149999999999974</v>
      </c>
    </row>
    <row r="397" spans="1:12" x14ac:dyDescent="0.2">
      <c r="A397" s="70">
        <v>44670</v>
      </c>
      <c r="B397" s="57" t="s">
        <v>181</v>
      </c>
      <c r="C397" s="57" t="s">
        <v>176</v>
      </c>
      <c r="D397" s="57" t="s">
        <v>177</v>
      </c>
      <c r="E397" s="57" t="s">
        <v>175</v>
      </c>
      <c r="F397" s="57">
        <f t="shared" si="13"/>
        <v>0</v>
      </c>
      <c r="G397" s="57">
        <v>7.3357999999999999</v>
      </c>
      <c r="H397" s="57">
        <v>9.1976999999999993</v>
      </c>
      <c r="I397" s="57">
        <v>7.7832999999999997</v>
      </c>
      <c r="J397" s="33">
        <f t="shared" si="9"/>
        <v>1.8618999999999994</v>
      </c>
      <c r="K397" s="33">
        <f t="shared" si="10"/>
        <v>0.44749999999999979</v>
      </c>
      <c r="L397" s="57">
        <v>1</v>
      </c>
    </row>
    <row r="398" spans="1:12" x14ac:dyDescent="0.2">
      <c r="A398" s="70">
        <v>44655</v>
      </c>
      <c r="B398" s="57">
        <v>2346</v>
      </c>
      <c r="C398" s="57" t="s">
        <v>173</v>
      </c>
      <c r="D398" s="57" t="s">
        <v>174</v>
      </c>
      <c r="E398" s="57" t="s">
        <v>175</v>
      </c>
      <c r="F398" s="57">
        <f t="shared" si="13"/>
        <v>1</v>
      </c>
      <c r="G398" s="57">
        <v>0</v>
      </c>
      <c r="H398" s="57">
        <v>1.9623999999999999</v>
      </c>
      <c r="I398" s="57">
        <v>1.115</v>
      </c>
      <c r="J398" s="33">
        <f t="shared" si="9"/>
        <v>1.9623999999999999</v>
      </c>
      <c r="K398" s="33">
        <f t="shared" si="10"/>
        <v>1.115</v>
      </c>
    </row>
    <row r="399" spans="1:12" x14ac:dyDescent="0.2">
      <c r="A399" s="70">
        <v>44663</v>
      </c>
      <c r="B399" s="57" t="s">
        <v>142</v>
      </c>
      <c r="C399" s="57" t="s">
        <v>176</v>
      </c>
      <c r="D399" s="57" t="s">
        <v>177</v>
      </c>
      <c r="E399" s="57" t="s">
        <v>178</v>
      </c>
      <c r="F399" s="57">
        <f t="shared" si="13"/>
        <v>0</v>
      </c>
      <c r="G399" s="57">
        <v>7.3701999999999996</v>
      </c>
      <c r="H399" s="57">
        <v>14.398999999999999</v>
      </c>
      <c r="I399" s="57">
        <v>9.5875000000000004</v>
      </c>
      <c r="J399" s="33">
        <f t="shared" si="9"/>
        <v>7.0287999999999995</v>
      </c>
      <c r="K399" s="33">
        <f t="shared" si="10"/>
        <v>2.2173000000000007</v>
      </c>
      <c r="L399" s="57">
        <v>3</v>
      </c>
    </row>
    <row r="400" spans="1:12" x14ac:dyDescent="0.2">
      <c r="A400" s="70">
        <v>44655</v>
      </c>
      <c r="B400" s="57">
        <v>2370</v>
      </c>
      <c r="C400" s="57" t="s">
        <v>173</v>
      </c>
      <c r="D400" s="57" t="s">
        <v>174</v>
      </c>
      <c r="E400" s="57" t="s">
        <v>175</v>
      </c>
      <c r="F400" s="57">
        <f t="shared" si="13"/>
        <v>1</v>
      </c>
      <c r="G400" s="57">
        <v>7.2323000000000004</v>
      </c>
      <c r="H400" s="57">
        <v>8.1719000000000008</v>
      </c>
      <c r="I400" s="57">
        <v>7.7907000000000002</v>
      </c>
      <c r="J400" s="33">
        <f t="shared" si="9"/>
        <v>0.93960000000000043</v>
      </c>
      <c r="K400" s="33">
        <f t="shared" si="10"/>
        <v>0.55839999999999979</v>
      </c>
    </row>
    <row r="401" spans="1:12" x14ac:dyDescent="0.2">
      <c r="A401" s="70">
        <v>44670</v>
      </c>
      <c r="B401" s="57" t="s">
        <v>182</v>
      </c>
      <c r="C401" s="57" t="s">
        <v>176</v>
      </c>
      <c r="D401" s="57" t="s">
        <v>177</v>
      </c>
      <c r="E401" s="57" t="s">
        <v>178</v>
      </c>
      <c r="F401" s="57">
        <f t="shared" si="13"/>
        <v>0</v>
      </c>
      <c r="G401" s="57">
        <v>6.3177000000000003</v>
      </c>
      <c r="H401" s="57">
        <v>10.012600000000001</v>
      </c>
      <c r="I401" s="57">
        <v>7.5885999999999996</v>
      </c>
      <c r="J401" s="33">
        <f t="shared" si="9"/>
        <v>3.6949000000000005</v>
      </c>
      <c r="K401" s="33">
        <f t="shared" si="10"/>
        <v>1.2708999999999993</v>
      </c>
      <c r="L401" s="57">
        <v>4</v>
      </c>
    </row>
    <row r="402" spans="1:12" x14ac:dyDescent="0.2">
      <c r="A402" s="70">
        <v>44655</v>
      </c>
      <c r="B402" s="57">
        <v>2367</v>
      </c>
      <c r="C402" s="57" t="s">
        <v>173</v>
      </c>
      <c r="D402" s="57" t="s">
        <v>177</v>
      </c>
      <c r="E402" s="57" t="s">
        <v>175</v>
      </c>
      <c r="F402" s="57">
        <f t="shared" si="13"/>
        <v>0</v>
      </c>
      <c r="G402" s="57">
        <v>7.3320999999999996</v>
      </c>
      <c r="H402" s="57">
        <v>7.5258000000000003</v>
      </c>
      <c r="I402" s="57">
        <v>7.4291</v>
      </c>
      <c r="J402" s="33">
        <f t="shared" si="9"/>
        <v>0.19370000000000065</v>
      </c>
      <c r="K402" s="33">
        <f t="shared" si="10"/>
        <v>9.7000000000000419E-2</v>
      </c>
    </row>
    <row r="403" spans="1:12" x14ac:dyDescent="0.2">
      <c r="A403" s="70">
        <v>44677</v>
      </c>
      <c r="B403" s="57" t="s">
        <v>142</v>
      </c>
      <c r="C403" s="57" t="s">
        <v>176</v>
      </c>
      <c r="D403" s="57" t="s">
        <v>177</v>
      </c>
      <c r="E403" s="57" t="s">
        <v>178</v>
      </c>
      <c r="F403" s="57">
        <f t="shared" si="13"/>
        <v>0</v>
      </c>
      <c r="G403" s="57">
        <v>7.3719000000000001</v>
      </c>
      <c r="H403" s="57">
        <v>11.4053</v>
      </c>
      <c r="I403" s="57">
        <v>8.7579999999999991</v>
      </c>
      <c r="J403" s="33">
        <f t="shared" si="9"/>
        <v>4.0334000000000003</v>
      </c>
      <c r="K403" s="33">
        <f t="shared" si="10"/>
        <v>1.386099999999999</v>
      </c>
      <c r="L403" s="57">
        <v>4</v>
      </c>
    </row>
    <row r="404" spans="1:12" x14ac:dyDescent="0.2">
      <c r="A404" s="70">
        <v>44655</v>
      </c>
      <c r="B404" s="57">
        <v>2378</v>
      </c>
      <c r="C404" s="57" t="s">
        <v>173</v>
      </c>
      <c r="D404" s="57" t="s">
        <v>174</v>
      </c>
      <c r="E404" s="57" t="s">
        <v>175</v>
      </c>
      <c r="F404" s="57">
        <f t="shared" si="13"/>
        <v>1</v>
      </c>
      <c r="G404" s="57">
        <v>6.2530000000000001</v>
      </c>
      <c r="H404" s="57">
        <v>6.7492000000000001</v>
      </c>
      <c r="I404" s="57">
        <v>6.5279999999999996</v>
      </c>
      <c r="J404" s="33">
        <f t="shared" si="9"/>
        <v>0.49619999999999997</v>
      </c>
      <c r="K404" s="33">
        <f t="shared" si="10"/>
        <v>0.27499999999999947</v>
      </c>
    </row>
    <row r="405" spans="1:12" x14ac:dyDescent="0.2">
      <c r="A405" s="70">
        <v>44655</v>
      </c>
      <c r="B405" s="57">
        <v>2347</v>
      </c>
      <c r="C405" s="57" t="s">
        <v>173</v>
      </c>
      <c r="D405" s="57" t="s">
        <v>177</v>
      </c>
      <c r="E405" s="57" t="s">
        <v>175</v>
      </c>
      <c r="F405" s="57">
        <f t="shared" si="13"/>
        <v>0</v>
      </c>
      <c r="G405" s="57">
        <v>0</v>
      </c>
      <c r="H405" s="57">
        <v>0.3039</v>
      </c>
      <c r="I405" s="57">
        <v>0.1391</v>
      </c>
      <c r="J405" s="33">
        <f t="shared" si="9"/>
        <v>0.3039</v>
      </c>
      <c r="K405" s="33">
        <f t="shared" si="10"/>
        <v>0.1391</v>
      </c>
    </row>
    <row r="406" spans="1:12" x14ac:dyDescent="0.2">
      <c r="A406" s="70">
        <v>44655</v>
      </c>
      <c r="B406" s="57">
        <v>2024</v>
      </c>
      <c r="C406" s="57" t="s">
        <v>176</v>
      </c>
      <c r="D406" s="57" t="s">
        <v>174</v>
      </c>
      <c r="E406" s="57" t="s">
        <v>175</v>
      </c>
      <c r="F406" s="57">
        <f t="shared" si="13"/>
        <v>1</v>
      </c>
      <c r="G406" s="57">
        <v>7.3804999999999996</v>
      </c>
      <c r="H406" s="57">
        <v>8.5510000000000002</v>
      </c>
      <c r="I406" s="57">
        <f>7.3805+0.661</f>
        <v>8.0414999999999992</v>
      </c>
      <c r="J406" s="33">
        <f t="shared" si="9"/>
        <v>1.1705000000000005</v>
      </c>
      <c r="K406" s="33">
        <f t="shared" si="10"/>
        <v>0.66099999999999959</v>
      </c>
    </row>
    <row r="407" spans="1:12" x14ac:dyDescent="0.2">
      <c r="A407" s="70">
        <v>44663</v>
      </c>
      <c r="B407" s="57" t="s">
        <v>181</v>
      </c>
      <c r="C407" s="57" t="s">
        <v>176</v>
      </c>
      <c r="D407" s="57" t="s">
        <v>177</v>
      </c>
      <c r="E407" s="57" t="s">
        <v>175</v>
      </c>
      <c r="F407" s="57">
        <f t="shared" si="13"/>
        <v>0</v>
      </c>
      <c r="G407" s="57">
        <v>6.2530999999999999</v>
      </c>
      <c r="H407" s="57">
        <v>10.6295</v>
      </c>
      <c r="I407" s="57">
        <v>7.8487999999999998</v>
      </c>
      <c r="J407" s="33">
        <f t="shared" si="9"/>
        <v>4.3764000000000003</v>
      </c>
      <c r="K407" s="33">
        <f t="shared" si="10"/>
        <v>1.5956999999999999</v>
      </c>
      <c r="L407" s="57">
        <v>2</v>
      </c>
    </row>
    <row r="408" spans="1:12" x14ac:dyDescent="0.2">
      <c r="A408" s="70">
        <v>44663</v>
      </c>
      <c r="B408" s="57" t="s">
        <v>181</v>
      </c>
      <c r="C408" s="57" t="s">
        <v>176</v>
      </c>
      <c r="D408" s="57" t="s">
        <v>177</v>
      </c>
      <c r="E408" s="57" t="s">
        <v>175</v>
      </c>
      <c r="F408" s="57">
        <f t="shared" si="13"/>
        <v>0</v>
      </c>
      <c r="G408" s="57">
        <v>7.3460000000000001</v>
      </c>
      <c r="H408" s="57">
        <v>11.1595</v>
      </c>
      <c r="I408" s="57">
        <v>8.1661000000000001</v>
      </c>
      <c r="J408" s="33">
        <f t="shared" si="9"/>
        <v>3.8134999999999994</v>
      </c>
      <c r="K408" s="33">
        <f t="shared" si="10"/>
        <v>0.82010000000000005</v>
      </c>
      <c r="L408" s="57">
        <v>1</v>
      </c>
    </row>
    <row r="409" spans="1:12" x14ac:dyDescent="0.2">
      <c r="A409" s="70">
        <v>44655</v>
      </c>
      <c r="B409" s="57">
        <v>2007</v>
      </c>
      <c r="C409" s="57" t="s">
        <v>176</v>
      </c>
      <c r="D409" s="57" t="s">
        <v>177</v>
      </c>
      <c r="E409" s="57" t="s">
        <v>175</v>
      </c>
      <c r="F409" s="57">
        <f t="shared" si="13"/>
        <v>0</v>
      </c>
      <c r="G409" s="57">
        <v>7.4519000000000002</v>
      </c>
      <c r="H409" s="57">
        <v>8.0289999999999999</v>
      </c>
      <c r="I409" s="57">
        <v>7.7302999999999997</v>
      </c>
      <c r="J409" s="33">
        <f t="shared" si="9"/>
        <v>0.57709999999999972</v>
      </c>
      <c r="K409" s="33">
        <f t="shared" si="10"/>
        <v>0.27839999999999954</v>
      </c>
    </row>
    <row r="410" spans="1:12" x14ac:dyDescent="0.2">
      <c r="A410" s="70">
        <v>44655</v>
      </c>
      <c r="B410" s="57">
        <v>2009</v>
      </c>
      <c r="C410" s="57" t="s">
        <v>173</v>
      </c>
      <c r="D410" s="57" t="s">
        <v>174</v>
      </c>
      <c r="E410" s="57" t="s">
        <v>175</v>
      </c>
      <c r="F410" s="57">
        <f t="shared" si="13"/>
        <v>1</v>
      </c>
      <c r="G410" s="57">
        <v>7.2321</v>
      </c>
      <c r="H410" s="57">
        <v>8.0002999999999993</v>
      </c>
      <c r="I410" s="57">
        <v>7.6769999999999996</v>
      </c>
      <c r="J410" s="33">
        <f t="shared" si="9"/>
        <v>0.76819999999999933</v>
      </c>
      <c r="K410" s="33">
        <f t="shared" si="10"/>
        <v>0.44489999999999963</v>
      </c>
    </row>
    <row r="411" spans="1:12" x14ac:dyDescent="0.2">
      <c r="A411" s="70">
        <v>44655</v>
      </c>
      <c r="B411" s="57">
        <v>2383</v>
      </c>
      <c r="C411" s="57" t="s">
        <v>173</v>
      </c>
      <c r="D411" s="57" t="s">
        <v>177</v>
      </c>
      <c r="E411" s="57" t="s">
        <v>175</v>
      </c>
      <c r="F411" s="57">
        <f t="shared" si="13"/>
        <v>0</v>
      </c>
      <c r="G411" s="57">
        <v>6.3215000000000003</v>
      </c>
      <c r="H411" s="57">
        <v>6.8467000000000002</v>
      </c>
      <c r="I411" s="57">
        <v>6.5937999999999999</v>
      </c>
      <c r="J411" s="33">
        <f t="shared" si="9"/>
        <v>0.52519999999999989</v>
      </c>
      <c r="K411" s="33">
        <f t="shared" si="10"/>
        <v>0.27229999999999954</v>
      </c>
    </row>
    <row r="412" spans="1:12" x14ac:dyDescent="0.2">
      <c r="A412" s="70">
        <v>44655</v>
      </c>
      <c r="B412" s="57">
        <v>2331</v>
      </c>
      <c r="C412" s="57" t="s">
        <v>173</v>
      </c>
      <c r="D412" s="57" t="s">
        <v>174</v>
      </c>
      <c r="E412" s="57" t="s">
        <v>175</v>
      </c>
      <c r="F412" s="57">
        <f t="shared" si="13"/>
        <v>1</v>
      </c>
      <c r="G412" s="57">
        <v>7.2919999999999998</v>
      </c>
      <c r="H412" s="57">
        <v>8.8125999999999998</v>
      </c>
      <c r="I412" s="33">
        <f>7.292+0.99</f>
        <v>8.282</v>
      </c>
      <c r="J412" s="33">
        <f t="shared" si="9"/>
        <v>1.5206</v>
      </c>
      <c r="K412" s="33">
        <f t="shared" si="10"/>
        <v>0.99000000000000021</v>
      </c>
    </row>
    <row r="413" spans="1:12" x14ac:dyDescent="0.2">
      <c r="A413" s="70">
        <v>44677</v>
      </c>
      <c r="B413" s="57" t="s">
        <v>142</v>
      </c>
      <c r="C413" s="57" t="s">
        <v>176</v>
      </c>
      <c r="D413" s="57" t="s">
        <v>177</v>
      </c>
      <c r="E413" s="57" t="s">
        <v>178</v>
      </c>
      <c r="F413" s="57">
        <f t="shared" si="13"/>
        <v>0</v>
      </c>
      <c r="G413" s="57">
        <v>7.3703000000000003</v>
      </c>
      <c r="H413" s="57">
        <v>12.1358</v>
      </c>
      <c r="I413" s="57">
        <v>8.8133999999999997</v>
      </c>
      <c r="J413" s="33">
        <f t="shared" si="9"/>
        <v>4.7654999999999994</v>
      </c>
      <c r="K413" s="33">
        <f t="shared" si="10"/>
        <v>1.4430999999999994</v>
      </c>
      <c r="L413" s="57">
        <v>3</v>
      </c>
    </row>
    <row r="414" spans="1:12" x14ac:dyDescent="0.2">
      <c r="A414" s="70">
        <v>44655</v>
      </c>
      <c r="B414" s="57">
        <v>2009</v>
      </c>
      <c r="C414" s="57" t="s">
        <v>173</v>
      </c>
      <c r="D414" s="57" t="s">
        <v>177</v>
      </c>
      <c r="E414" s="57" t="s">
        <v>175</v>
      </c>
      <c r="F414" s="57">
        <f t="shared" si="13"/>
        <v>0</v>
      </c>
      <c r="G414" s="57">
        <v>7.2742000000000004</v>
      </c>
      <c r="H414" s="57">
        <v>7.7457000000000003</v>
      </c>
      <c r="I414" s="57">
        <v>7.4950000000000001</v>
      </c>
      <c r="J414" s="33">
        <f t="shared" si="9"/>
        <v>0.47149999999999981</v>
      </c>
      <c r="K414" s="33">
        <f t="shared" si="10"/>
        <v>0.22079999999999966</v>
      </c>
    </row>
    <row r="415" spans="1:12" x14ac:dyDescent="0.2">
      <c r="A415" s="70">
        <v>44655</v>
      </c>
      <c r="B415" s="57">
        <v>2347</v>
      </c>
      <c r="C415" s="57" t="s">
        <v>173</v>
      </c>
      <c r="D415" s="57" t="s">
        <v>177</v>
      </c>
      <c r="E415" s="57" t="s">
        <v>175</v>
      </c>
      <c r="F415" s="57">
        <f t="shared" si="13"/>
        <v>0</v>
      </c>
      <c r="G415" s="57">
        <v>7.3072999999999997</v>
      </c>
      <c r="H415" s="57">
        <v>8.2821999999999996</v>
      </c>
      <c r="I415" s="57">
        <v>7.891</v>
      </c>
      <c r="J415" s="33">
        <f t="shared" si="9"/>
        <v>0.97489999999999988</v>
      </c>
      <c r="K415" s="33">
        <f t="shared" si="10"/>
        <v>0.58370000000000033</v>
      </c>
    </row>
    <row r="416" spans="1:12" x14ac:dyDescent="0.2">
      <c r="A416" s="70">
        <v>44655</v>
      </c>
      <c r="B416" s="57">
        <v>2092</v>
      </c>
      <c r="C416" s="57" t="s">
        <v>176</v>
      </c>
      <c r="D416" s="57" t="s">
        <v>174</v>
      </c>
      <c r="E416" s="57" t="s">
        <v>175</v>
      </c>
      <c r="F416" s="57">
        <f t="shared" si="13"/>
        <v>1</v>
      </c>
      <c r="G416" s="57">
        <v>6.2850000000000001</v>
      </c>
      <c r="H416" s="57">
        <v>7.0054999999999996</v>
      </c>
      <c r="I416" s="57">
        <v>6.6944999999999997</v>
      </c>
      <c r="J416" s="33">
        <f t="shared" si="9"/>
        <v>0.72049999999999947</v>
      </c>
      <c r="K416" s="33">
        <f t="shared" si="10"/>
        <v>0.40949999999999953</v>
      </c>
    </row>
    <row r="417" spans="1:12" x14ac:dyDescent="0.2">
      <c r="A417" s="70">
        <v>44655</v>
      </c>
      <c r="B417" s="57">
        <v>2301</v>
      </c>
      <c r="C417" s="57" t="s">
        <v>173</v>
      </c>
      <c r="D417" s="57" t="s">
        <v>174</v>
      </c>
      <c r="E417" s="57" t="s">
        <v>175</v>
      </c>
      <c r="F417" s="57">
        <f t="shared" si="13"/>
        <v>1</v>
      </c>
      <c r="G417" s="57">
        <v>6.2929000000000004</v>
      </c>
      <c r="H417" s="57">
        <v>7.5622999999999996</v>
      </c>
      <c r="I417" s="57">
        <v>7.0770999999999997</v>
      </c>
      <c r="J417" s="33">
        <f t="shared" si="9"/>
        <v>1.2693999999999992</v>
      </c>
      <c r="K417" s="33">
        <f t="shared" si="10"/>
        <v>0.78419999999999934</v>
      </c>
    </row>
    <row r="418" spans="1:12" x14ac:dyDescent="0.2">
      <c r="A418" s="70">
        <v>44655</v>
      </c>
      <c r="B418" s="57">
        <v>2372</v>
      </c>
      <c r="C418" s="57" t="s">
        <v>173</v>
      </c>
      <c r="D418" s="57" t="s">
        <v>174</v>
      </c>
      <c r="E418" s="57" t="s">
        <v>175</v>
      </c>
      <c r="F418" s="57">
        <f t="shared" si="13"/>
        <v>1</v>
      </c>
      <c r="G418" s="57">
        <v>7.3216000000000001</v>
      </c>
      <c r="H418" s="57">
        <v>7.9797000000000002</v>
      </c>
      <c r="I418" s="57">
        <v>7.7167000000000003</v>
      </c>
      <c r="J418" s="33">
        <f t="shared" si="9"/>
        <v>0.65810000000000013</v>
      </c>
      <c r="K418" s="33">
        <f t="shared" si="10"/>
        <v>0.39510000000000023</v>
      </c>
    </row>
    <row r="419" spans="1:12" x14ac:dyDescent="0.2">
      <c r="A419" s="70">
        <v>44655</v>
      </c>
      <c r="B419" s="57">
        <v>2024</v>
      </c>
      <c r="C419" s="57" t="s">
        <v>176</v>
      </c>
      <c r="D419" s="57" t="s">
        <v>177</v>
      </c>
      <c r="E419" s="57" t="s">
        <v>175</v>
      </c>
      <c r="F419" s="57">
        <f t="shared" si="13"/>
        <v>0</v>
      </c>
      <c r="G419" s="57">
        <v>7.5075000000000003</v>
      </c>
      <c r="H419" s="57">
        <v>8.2266999999999992</v>
      </c>
      <c r="I419" s="33">
        <f>7.5075+0.344</f>
        <v>7.8515000000000006</v>
      </c>
      <c r="J419" s="33">
        <f t="shared" si="9"/>
        <v>0.71919999999999895</v>
      </c>
      <c r="K419" s="33">
        <f t="shared" si="10"/>
        <v>0.34400000000000031</v>
      </c>
    </row>
    <row r="420" spans="1:12" x14ac:dyDescent="0.2">
      <c r="A420" s="70">
        <v>44655</v>
      </c>
      <c r="B420" s="57">
        <v>2005</v>
      </c>
      <c r="C420" s="57" t="s">
        <v>176</v>
      </c>
      <c r="D420" s="57" t="s">
        <v>177</v>
      </c>
      <c r="E420" s="57" t="s">
        <v>175</v>
      </c>
      <c r="F420" s="57">
        <f t="shared" si="13"/>
        <v>0</v>
      </c>
      <c r="G420" s="57">
        <v>7.3650000000000002</v>
      </c>
      <c r="H420" s="57">
        <v>8.3053000000000008</v>
      </c>
      <c r="I420" s="33">
        <f>7.365+0.432</f>
        <v>7.7970000000000006</v>
      </c>
      <c r="J420" s="33">
        <f t="shared" si="9"/>
        <v>0.94030000000000058</v>
      </c>
      <c r="K420" s="33">
        <f t="shared" si="10"/>
        <v>0.43200000000000038</v>
      </c>
    </row>
    <row r="421" spans="1:12" x14ac:dyDescent="0.2">
      <c r="A421" s="70">
        <v>44655</v>
      </c>
      <c r="B421" s="57">
        <v>2377</v>
      </c>
      <c r="C421" s="57" t="s">
        <v>173</v>
      </c>
      <c r="D421" s="57" t="s">
        <v>174</v>
      </c>
      <c r="E421" s="57" t="s">
        <v>175</v>
      </c>
      <c r="F421" s="57">
        <f t="shared" si="13"/>
        <v>1</v>
      </c>
      <c r="G421" s="57">
        <v>6.2891000000000004</v>
      </c>
      <c r="H421" s="57">
        <v>7.7748999999999997</v>
      </c>
      <c r="I421" s="57">
        <v>7.1783000000000001</v>
      </c>
      <c r="J421" s="33">
        <f t="shared" si="9"/>
        <v>1.4857999999999993</v>
      </c>
      <c r="K421" s="33">
        <f t="shared" si="10"/>
        <v>0.88919999999999977</v>
      </c>
    </row>
    <row r="422" spans="1:12" x14ac:dyDescent="0.2">
      <c r="A422" s="70">
        <v>44655</v>
      </c>
      <c r="B422" s="57">
        <v>2092</v>
      </c>
      <c r="C422" s="57" t="s">
        <v>176</v>
      </c>
      <c r="D422" s="57" t="s">
        <v>177</v>
      </c>
      <c r="E422" s="57" t="s">
        <v>178</v>
      </c>
      <c r="F422" s="57">
        <f t="shared" si="13"/>
        <v>0</v>
      </c>
      <c r="G422" s="57">
        <v>7.3491</v>
      </c>
      <c r="H422" s="57">
        <v>8.1659000000000006</v>
      </c>
      <c r="I422" s="57">
        <v>7.8197999999999999</v>
      </c>
      <c r="J422" s="33">
        <f t="shared" si="9"/>
        <v>0.81680000000000064</v>
      </c>
      <c r="K422" s="33">
        <f t="shared" si="10"/>
        <v>0.4706999999999999</v>
      </c>
    </row>
    <row r="423" spans="1:12" x14ac:dyDescent="0.2">
      <c r="A423" s="70">
        <v>44655</v>
      </c>
      <c r="B423" s="57">
        <v>2369</v>
      </c>
      <c r="C423" s="57" t="s">
        <v>173</v>
      </c>
      <c r="D423" s="57" t="s">
        <v>174</v>
      </c>
      <c r="E423" s="57" t="s">
        <v>175</v>
      </c>
      <c r="F423" s="57">
        <f t="shared" si="13"/>
        <v>1</v>
      </c>
      <c r="G423" s="57">
        <v>7.3337000000000003</v>
      </c>
      <c r="H423" s="57">
        <v>7.5829000000000004</v>
      </c>
      <c r="I423" s="57">
        <v>7.4859999999999998</v>
      </c>
      <c r="J423" s="33">
        <f t="shared" si="9"/>
        <v>0.24920000000000009</v>
      </c>
      <c r="K423" s="33">
        <f t="shared" si="10"/>
        <v>0.15229999999999944</v>
      </c>
    </row>
    <row r="424" spans="1:12" x14ac:dyDescent="0.2">
      <c r="A424" s="70">
        <v>44663</v>
      </c>
      <c r="B424" s="57" t="s">
        <v>182</v>
      </c>
      <c r="C424" s="57" t="s">
        <v>176</v>
      </c>
      <c r="D424" s="57" t="s">
        <v>177</v>
      </c>
      <c r="E424" s="57" t="s">
        <v>175</v>
      </c>
      <c r="F424" s="57">
        <f t="shared" si="13"/>
        <v>0</v>
      </c>
      <c r="G424" s="57">
        <v>7.2389000000000001</v>
      </c>
      <c r="H424" s="57">
        <v>10.459199999999999</v>
      </c>
      <c r="I424" s="57">
        <v>8.2622999999999998</v>
      </c>
      <c r="J424" s="33">
        <f t="shared" si="9"/>
        <v>3.2202999999999991</v>
      </c>
      <c r="K424" s="33">
        <f t="shared" si="10"/>
        <v>1.0233999999999996</v>
      </c>
      <c r="L424" s="57">
        <v>3</v>
      </c>
    </row>
    <row r="425" spans="1:12" x14ac:dyDescent="0.2">
      <c r="A425" s="70">
        <v>44655</v>
      </c>
      <c r="B425" s="57">
        <v>2026</v>
      </c>
      <c r="C425" s="57" t="s">
        <v>176</v>
      </c>
      <c r="D425" s="57" t="s">
        <v>177</v>
      </c>
      <c r="E425" s="57" t="s">
        <v>178</v>
      </c>
      <c r="F425" s="57">
        <f t="shared" si="13"/>
        <v>0</v>
      </c>
      <c r="G425" s="57">
        <v>7.2893999999999997</v>
      </c>
      <c r="H425" s="57">
        <v>11.567500000000001</v>
      </c>
      <c r="I425" s="57">
        <v>9.4532000000000007</v>
      </c>
      <c r="J425" s="33">
        <f t="shared" si="9"/>
        <v>4.2781000000000011</v>
      </c>
      <c r="K425" s="33">
        <f t="shared" si="10"/>
        <v>2.1638000000000011</v>
      </c>
    </row>
    <row r="426" spans="1:12" x14ac:dyDescent="0.2">
      <c r="A426" s="70">
        <v>44655</v>
      </c>
      <c r="B426" s="57">
        <v>2385</v>
      </c>
      <c r="C426" s="57" t="s">
        <v>176</v>
      </c>
      <c r="D426" s="57" t="s">
        <v>177</v>
      </c>
      <c r="E426" s="57" t="s">
        <v>178</v>
      </c>
      <c r="F426" s="57">
        <f t="shared" si="13"/>
        <v>0</v>
      </c>
      <c r="G426" s="57">
        <v>7.3442999999999996</v>
      </c>
      <c r="H426" s="57">
        <v>13.213100000000001</v>
      </c>
      <c r="I426" s="57">
        <v>9.7159999999999993</v>
      </c>
      <c r="J426" s="33">
        <f t="shared" si="9"/>
        <v>5.8688000000000011</v>
      </c>
      <c r="K426" s="33">
        <f t="shared" si="10"/>
        <v>2.3716999999999997</v>
      </c>
    </row>
    <row r="427" spans="1:12" x14ac:dyDescent="0.2">
      <c r="A427" s="70">
        <v>44655</v>
      </c>
      <c r="B427" s="57">
        <v>2352</v>
      </c>
      <c r="C427" s="57" t="s">
        <v>173</v>
      </c>
      <c r="D427" s="57" t="s">
        <v>174</v>
      </c>
      <c r="E427" s="57" t="s">
        <v>175</v>
      </c>
      <c r="F427" s="57">
        <f t="shared" si="13"/>
        <v>1</v>
      </c>
      <c r="G427" s="57">
        <v>7.3108000000000004</v>
      </c>
      <c r="H427" s="57">
        <v>8.1445000000000007</v>
      </c>
      <c r="I427" s="57">
        <v>7.8529999999999998</v>
      </c>
      <c r="J427" s="33">
        <f t="shared" si="9"/>
        <v>0.83370000000000033</v>
      </c>
      <c r="K427" s="33">
        <f t="shared" si="10"/>
        <v>0.54219999999999935</v>
      </c>
    </row>
    <row r="428" spans="1:12" x14ac:dyDescent="0.2">
      <c r="A428" s="70">
        <v>44670</v>
      </c>
      <c r="B428" s="57" t="s">
        <v>181</v>
      </c>
      <c r="C428" s="57" t="s">
        <v>176</v>
      </c>
      <c r="D428" s="57" t="s">
        <v>177</v>
      </c>
      <c r="E428" s="57" t="s">
        <v>175</v>
      </c>
      <c r="F428" s="57">
        <f t="shared" si="13"/>
        <v>0</v>
      </c>
      <c r="G428" s="57">
        <v>6.3777999999999997</v>
      </c>
      <c r="H428" s="57">
        <v>9.3231999999999999</v>
      </c>
      <c r="I428" s="57">
        <v>6.9880000000000004</v>
      </c>
      <c r="J428" s="33">
        <f t="shared" si="9"/>
        <v>2.9454000000000002</v>
      </c>
      <c r="K428" s="33">
        <f t="shared" si="10"/>
        <v>0.61020000000000074</v>
      </c>
      <c r="L428" s="57">
        <v>2</v>
      </c>
    </row>
    <row r="429" spans="1:12" x14ac:dyDescent="0.2">
      <c r="A429" s="70">
        <v>44655</v>
      </c>
      <c r="B429" s="57">
        <v>2383</v>
      </c>
      <c r="C429" s="57" t="s">
        <v>173</v>
      </c>
      <c r="D429" s="57" t="s">
        <v>174</v>
      </c>
      <c r="E429" s="57" t="s">
        <v>175</v>
      </c>
      <c r="F429" s="57">
        <f t="shared" si="13"/>
        <v>1</v>
      </c>
      <c r="G429" s="57">
        <v>7.3049999999999997</v>
      </c>
      <c r="H429" s="57">
        <v>8.8834</v>
      </c>
      <c r="I429" s="57">
        <v>8.1942000000000004</v>
      </c>
      <c r="J429" s="33">
        <f t="shared" si="9"/>
        <v>1.5784000000000002</v>
      </c>
      <c r="K429" s="33">
        <f t="shared" si="10"/>
        <v>0.88920000000000066</v>
      </c>
    </row>
    <row r="430" spans="1:12" x14ac:dyDescent="0.2">
      <c r="A430" s="70">
        <v>44655</v>
      </c>
      <c r="B430" s="57">
        <v>2354</v>
      </c>
      <c r="C430" s="57" t="s">
        <v>173</v>
      </c>
      <c r="D430" s="57" t="s">
        <v>174</v>
      </c>
      <c r="E430" s="57" t="s">
        <v>175</v>
      </c>
      <c r="F430" s="57">
        <f t="shared" si="13"/>
        <v>1</v>
      </c>
      <c r="G430" s="57">
        <v>6.2625999999999999</v>
      </c>
      <c r="H430" s="57">
        <v>6.7759999999999998</v>
      </c>
      <c r="I430" s="57">
        <v>6.5776000000000003</v>
      </c>
      <c r="J430" s="33">
        <f t="shared" si="9"/>
        <v>0.51339999999999986</v>
      </c>
      <c r="K430" s="33">
        <f t="shared" si="10"/>
        <v>0.31500000000000039</v>
      </c>
    </row>
    <row r="431" spans="1:12" x14ac:dyDescent="0.2">
      <c r="A431" s="70">
        <v>44655</v>
      </c>
      <c r="B431" s="57">
        <v>2367</v>
      </c>
      <c r="C431" s="57" t="s">
        <v>173</v>
      </c>
      <c r="D431" s="57" t="s">
        <v>174</v>
      </c>
      <c r="E431" s="57" t="s">
        <v>175</v>
      </c>
      <c r="F431" s="57">
        <f t="shared" si="13"/>
        <v>1</v>
      </c>
      <c r="G431" s="57">
        <v>7.2424999999999997</v>
      </c>
      <c r="H431" s="57">
        <v>7.8018999999999998</v>
      </c>
      <c r="I431" s="57">
        <v>7.5949999999999998</v>
      </c>
      <c r="J431" s="33">
        <f t="shared" si="9"/>
        <v>0.55940000000000012</v>
      </c>
      <c r="K431" s="33">
        <f t="shared" si="10"/>
        <v>0.35250000000000004</v>
      </c>
    </row>
    <row r="432" spans="1:12" x14ac:dyDescent="0.2">
      <c r="A432" s="70">
        <v>44655</v>
      </c>
      <c r="B432" s="57">
        <v>2093</v>
      </c>
      <c r="C432" s="57" t="s">
        <v>176</v>
      </c>
      <c r="D432" s="57" t="s">
        <v>177</v>
      </c>
      <c r="E432" s="57" t="s">
        <v>175</v>
      </c>
      <c r="F432" s="57">
        <f t="shared" si="13"/>
        <v>0</v>
      </c>
      <c r="G432" s="57">
        <v>7.2942</v>
      </c>
      <c r="H432" s="57">
        <v>7.3841999999999999</v>
      </c>
      <c r="I432" s="57">
        <v>7.3418999999999999</v>
      </c>
      <c r="J432" s="33">
        <f t="shared" si="9"/>
        <v>8.9999999999999858E-2</v>
      </c>
      <c r="K432" s="33">
        <f t="shared" si="10"/>
        <v>4.7699999999999854E-2</v>
      </c>
    </row>
    <row r="433" spans="1:11" x14ac:dyDescent="0.2">
      <c r="A433" s="70">
        <v>44655</v>
      </c>
      <c r="B433" s="57">
        <v>2352</v>
      </c>
      <c r="C433" s="57" t="s">
        <v>173</v>
      </c>
      <c r="D433" s="57" t="s">
        <v>177</v>
      </c>
      <c r="E433" s="57" t="s">
        <v>175</v>
      </c>
      <c r="F433" s="57">
        <f t="shared" si="13"/>
        <v>0</v>
      </c>
      <c r="G433" s="57">
        <v>6.2655000000000003</v>
      </c>
      <c r="H433" s="57">
        <v>6.351</v>
      </c>
      <c r="I433" s="57">
        <v>6.3131000000000004</v>
      </c>
      <c r="J433" s="33">
        <f t="shared" si="9"/>
        <v>8.5499999999999687E-2</v>
      </c>
      <c r="K433" s="33">
        <f t="shared" si="10"/>
        <v>4.7600000000000087E-2</v>
      </c>
    </row>
    <row r="434" spans="1:11" x14ac:dyDescent="0.2">
      <c r="A434" s="70">
        <v>44655</v>
      </c>
      <c r="B434" s="57">
        <v>2384</v>
      </c>
      <c r="C434" s="57" t="s">
        <v>173</v>
      </c>
      <c r="D434" s="57" t="s">
        <v>177</v>
      </c>
      <c r="E434" s="57" t="s">
        <v>175</v>
      </c>
      <c r="F434" s="57">
        <f t="shared" si="13"/>
        <v>0</v>
      </c>
      <c r="G434" s="57">
        <v>7.3028000000000004</v>
      </c>
      <c r="H434" s="57">
        <v>7.4371999999999998</v>
      </c>
      <c r="I434" s="57">
        <v>7.3840000000000003</v>
      </c>
      <c r="J434" s="33">
        <f t="shared" si="9"/>
        <v>0.13439999999999941</v>
      </c>
      <c r="K434" s="33">
        <f t="shared" si="10"/>
        <v>8.1199999999999939E-2</v>
      </c>
    </row>
    <row r="435" spans="1:11" x14ac:dyDescent="0.2">
      <c r="A435" s="70">
        <v>44655</v>
      </c>
      <c r="B435" s="57">
        <v>2029</v>
      </c>
      <c r="C435" s="57" t="s">
        <v>176</v>
      </c>
      <c r="D435" s="57" t="s">
        <v>177</v>
      </c>
      <c r="E435" s="57" t="s">
        <v>175</v>
      </c>
      <c r="F435" s="57">
        <f t="shared" si="13"/>
        <v>0</v>
      </c>
      <c r="G435" s="57">
        <v>7.3345000000000002</v>
      </c>
      <c r="H435" s="57">
        <v>7.6456</v>
      </c>
      <c r="I435" s="57">
        <v>7.492</v>
      </c>
      <c r="J435" s="33">
        <f t="shared" si="9"/>
        <v>0.31109999999999971</v>
      </c>
      <c r="K435" s="33">
        <f t="shared" si="10"/>
        <v>0.15749999999999975</v>
      </c>
    </row>
    <row r="436" spans="1:11" x14ac:dyDescent="0.2">
      <c r="A436" s="70">
        <v>44655</v>
      </c>
      <c r="B436" s="57">
        <v>2372</v>
      </c>
      <c r="C436" s="57" t="s">
        <v>173</v>
      </c>
      <c r="D436" s="57" t="s">
        <v>177</v>
      </c>
      <c r="E436" s="57" t="s">
        <v>175</v>
      </c>
      <c r="F436" s="57">
        <f t="shared" si="13"/>
        <v>0</v>
      </c>
      <c r="G436" s="57">
        <v>7.2573999999999996</v>
      </c>
      <c r="H436" s="57">
        <v>7.6317000000000004</v>
      </c>
      <c r="I436" s="57">
        <v>7.4184999999999999</v>
      </c>
      <c r="J436" s="33">
        <f t="shared" si="9"/>
        <v>0.37430000000000074</v>
      </c>
      <c r="K436" s="33">
        <f t="shared" si="10"/>
        <v>0.16110000000000024</v>
      </c>
    </row>
    <row r="437" spans="1:11" x14ac:dyDescent="0.2">
      <c r="A437" s="70">
        <v>44655</v>
      </c>
      <c r="B437" s="57">
        <v>2376</v>
      </c>
      <c r="C437" s="57" t="s">
        <v>173</v>
      </c>
      <c r="D437" s="57" t="s">
        <v>174</v>
      </c>
      <c r="E437" s="57" t="s">
        <v>175</v>
      </c>
      <c r="F437" s="57">
        <f t="shared" si="13"/>
        <v>1</v>
      </c>
      <c r="G437" s="57">
        <v>0</v>
      </c>
      <c r="H437" s="57">
        <v>1.0611999999999999</v>
      </c>
      <c r="I437" s="57">
        <v>0.65849999999999997</v>
      </c>
      <c r="J437" s="33">
        <f t="shared" si="9"/>
        <v>1.0611999999999999</v>
      </c>
      <c r="K437" s="33">
        <f t="shared" si="10"/>
        <v>0.65849999999999997</v>
      </c>
    </row>
    <row r="438" spans="1:11" x14ac:dyDescent="0.2">
      <c r="A438" s="70">
        <v>44655</v>
      </c>
      <c r="B438" s="57">
        <v>2360</v>
      </c>
      <c r="C438" s="57" t="s">
        <v>173</v>
      </c>
      <c r="D438" s="57" t="s">
        <v>177</v>
      </c>
      <c r="E438" s="57" t="s">
        <v>175</v>
      </c>
      <c r="F438" s="57">
        <f t="shared" si="13"/>
        <v>0</v>
      </c>
      <c r="G438" s="57">
        <v>6.3098999999999998</v>
      </c>
      <c r="H438" s="57">
        <v>7.0826000000000002</v>
      </c>
      <c r="I438" s="57">
        <v>6.7122000000000002</v>
      </c>
      <c r="J438" s="33">
        <f t="shared" si="9"/>
        <v>0.77270000000000039</v>
      </c>
      <c r="K438" s="33">
        <f t="shared" si="10"/>
        <v>0.40230000000000032</v>
      </c>
    </row>
    <row r="439" spans="1:11" x14ac:dyDescent="0.2">
      <c r="A439" s="70">
        <v>44655</v>
      </c>
      <c r="B439" s="57">
        <v>2011</v>
      </c>
      <c r="C439" s="57" t="s">
        <v>173</v>
      </c>
      <c r="D439" s="57" t="s">
        <v>174</v>
      </c>
      <c r="E439" s="57" t="s">
        <v>175</v>
      </c>
      <c r="F439" s="57">
        <f t="shared" si="13"/>
        <v>1</v>
      </c>
      <c r="G439" s="57">
        <v>0</v>
      </c>
      <c r="H439" s="57">
        <v>2.2545000000000002</v>
      </c>
      <c r="I439" s="57">
        <v>1.2089000000000001</v>
      </c>
      <c r="J439" s="33">
        <f t="shared" si="9"/>
        <v>2.2545000000000002</v>
      </c>
      <c r="K439" s="33">
        <f t="shared" si="10"/>
        <v>1.2089000000000001</v>
      </c>
    </row>
    <row r="440" spans="1:11" x14ac:dyDescent="0.2">
      <c r="A440" s="70">
        <v>44655</v>
      </c>
      <c r="B440" s="57">
        <v>2379</v>
      </c>
      <c r="C440" s="57" t="s">
        <v>173</v>
      </c>
      <c r="D440" s="57" t="s">
        <v>177</v>
      </c>
      <c r="E440" s="57" t="s">
        <v>175</v>
      </c>
      <c r="F440" s="57">
        <f t="shared" si="13"/>
        <v>0</v>
      </c>
      <c r="G440" s="57">
        <v>0</v>
      </c>
      <c r="H440" s="57">
        <v>0.55600000000000005</v>
      </c>
      <c r="I440" s="57">
        <v>0.2666</v>
      </c>
      <c r="J440" s="33">
        <f t="shared" si="9"/>
        <v>0.55600000000000005</v>
      </c>
      <c r="K440" s="33">
        <f t="shared" si="10"/>
        <v>0.2666</v>
      </c>
    </row>
    <row r="441" spans="1:11" x14ac:dyDescent="0.2">
      <c r="A441" s="70">
        <v>44655</v>
      </c>
      <c r="B441" s="57">
        <v>2026</v>
      </c>
      <c r="C441" s="57" t="s">
        <v>176</v>
      </c>
      <c r="D441" s="57" t="s">
        <v>177</v>
      </c>
      <c r="E441" s="57" t="s">
        <v>175</v>
      </c>
      <c r="F441" s="57">
        <f t="shared" si="13"/>
        <v>0</v>
      </c>
      <c r="G441" s="57">
        <v>7.3558000000000003</v>
      </c>
      <c r="H441" s="57">
        <v>7.8461999999999996</v>
      </c>
      <c r="I441" s="57">
        <v>7.6067999999999998</v>
      </c>
      <c r="J441" s="33">
        <f t="shared" si="9"/>
        <v>0.49039999999999928</v>
      </c>
      <c r="K441" s="33">
        <f t="shared" si="10"/>
        <v>0.25099999999999945</v>
      </c>
    </row>
    <row r="442" spans="1:11" x14ac:dyDescent="0.2">
      <c r="A442" s="70">
        <v>44655</v>
      </c>
      <c r="B442" s="57">
        <v>2381</v>
      </c>
      <c r="C442" s="57" t="s">
        <v>173</v>
      </c>
      <c r="D442" s="57" t="s">
        <v>174</v>
      </c>
      <c r="E442" s="57" t="s">
        <v>178</v>
      </c>
      <c r="F442" s="57">
        <f t="shared" si="13"/>
        <v>1</v>
      </c>
      <c r="G442" s="57">
        <v>6.2786</v>
      </c>
      <c r="H442" s="57">
        <v>10.6732</v>
      </c>
      <c r="I442" s="57">
        <v>8.4323999999999995</v>
      </c>
      <c r="J442" s="33">
        <f t="shared" si="9"/>
        <v>4.3945999999999996</v>
      </c>
      <c r="K442" s="33">
        <f t="shared" si="10"/>
        <v>2.1537999999999995</v>
      </c>
    </row>
    <row r="443" spans="1:11" x14ac:dyDescent="0.2">
      <c r="A443" s="70">
        <v>44655</v>
      </c>
      <c r="B443" s="57">
        <v>2346</v>
      </c>
      <c r="C443" s="57" t="s">
        <v>173</v>
      </c>
      <c r="D443" s="57" t="s">
        <v>177</v>
      </c>
      <c r="E443" s="57" t="s">
        <v>175</v>
      </c>
      <c r="F443" s="57">
        <f t="shared" si="13"/>
        <v>0</v>
      </c>
      <c r="G443" s="57">
        <v>0</v>
      </c>
      <c r="H443" s="57">
        <v>0.15129999999999999</v>
      </c>
      <c r="I443" s="57">
        <v>7.6200000000000004E-2</v>
      </c>
      <c r="J443" s="33">
        <f t="shared" si="9"/>
        <v>0.15129999999999999</v>
      </c>
      <c r="K443" s="33">
        <f t="shared" si="10"/>
        <v>7.6200000000000004E-2</v>
      </c>
    </row>
    <row r="444" spans="1:11" x14ac:dyDescent="0.2">
      <c r="A444" s="70">
        <v>44655</v>
      </c>
      <c r="B444" s="57">
        <v>2380</v>
      </c>
      <c r="C444" s="57" t="s">
        <v>176</v>
      </c>
      <c r="D444" s="57" t="s">
        <v>177</v>
      </c>
      <c r="E444" s="57" t="s">
        <v>175</v>
      </c>
      <c r="F444" s="57">
        <f t="shared" si="13"/>
        <v>0</v>
      </c>
      <c r="G444" s="57">
        <v>6.1905000000000001</v>
      </c>
      <c r="H444" s="57">
        <v>6.3429000000000002</v>
      </c>
      <c r="I444" s="57">
        <v>6.2690999999999999</v>
      </c>
      <c r="J444" s="33">
        <f t="shared" si="9"/>
        <v>0.15240000000000009</v>
      </c>
      <c r="K444" s="33">
        <f t="shared" si="10"/>
        <v>7.8599999999999781E-2</v>
      </c>
    </row>
    <row r="445" spans="1:11" x14ac:dyDescent="0.2">
      <c r="A445" s="70">
        <v>44655</v>
      </c>
      <c r="B445" s="57">
        <v>2385</v>
      </c>
      <c r="C445" s="57" t="s">
        <v>176</v>
      </c>
      <c r="D445" s="57" t="s">
        <v>177</v>
      </c>
      <c r="E445" s="57" t="s">
        <v>175</v>
      </c>
      <c r="F445" s="57">
        <f t="shared" si="13"/>
        <v>0</v>
      </c>
      <c r="G445" s="57">
        <v>7.3651999999999997</v>
      </c>
      <c r="H445" s="57">
        <v>8.1231000000000009</v>
      </c>
      <c r="I445" s="57">
        <v>7.6581999999999999</v>
      </c>
      <c r="J445" s="33">
        <f t="shared" si="9"/>
        <v>0.75790000000000113</v>
      </c>
      <c r="K445" s="33">
        <f t="shared" si="10"/>
        <v>0.29300000000000015</v>
      </c>
    </row>
    <row r="446" spans="1:11" x14ac:dyDescent="0.2">
      <c r="A446" s="70">
        <v>44655</v>
      </c>
      <c r="B446" s="57">
        <v>2088</v>
      </c>
      <c r="C446" s="57" t="s">
        <v>173</v>
      </c>
      <c r="D446" s="57" t="s">
        <v>174</v>
      </c>
      <c r="E446" s="57" t="s">
        <v>175</v>
      </c>
      <c r="F446" s="57">
        <f t="shared" si="13"/>
        <v>1</v>
      </c>
      <c r="G446" s="57">
        <v>6.3029999999999999</v>
      </c>
      <c r="H446" s="57">
        <v>6.8733000000000004</v>
      </c>
      <c r="I446" s="57">
        <v>6.5814000000000004</v>
      </c>
      <c r="J446" s="33">
        <f t="shared" si="9"/>
        <v>0.57030000000000047</v>
      </c>
      <c r="K446" s="33">
        <f t="shared" si="10"/>
        <v>0.27840000000000042</v>
      </c>
    </row>
    <row r="447" spans="1:11" x14ac:dyDescent="0.2">
      <c r="A447" s="70">
        <v>44655</v>
      </c>
      <c r="B447" s="57">
        <v>2092</v>
      </c>
      <c r="C447" s="57" t="s">
        <v>176</v>
      </c>
      <c r="D447" s="57" t="s">
        <v>177</v>
      </c>
      <c r="E447" s="57" t="s">
        <v>175</v>
      </c>
      <c r="F447" s="57">
        <f t="shared" si="13"/>
        <v>0</v>
      </c>
      <c r="G447" s="57">
        <v>6.3017000000000003</v>
      </c>
      <c r="H447" s="57">
        <v>6.5297000000000001</v>
      </c>
      <c r="I447" s="57">
        <v>6.4340000000000002</v>
      </c>
      <c r="J447" s="33">
        <f t="shared" si="9"/>
        <v>0.22799999999999976</v>
      </c>
      <c r="K447" s="33">
        <f t="shared" si="10"/>
        <v>0.13229999999999986</v>
      </c>
    </row>
    <row r="448" spans="1:11" x14ac:dyDescent="0.2">
      <c r="A448" s="70">
        <v>44655</v>
      </c>
      <c r="B448" s="57">
        <v>2381</v>
      </c>
      <c r="C448" s="57" t="s">
        <v>173</v>
      </c>
      <c r="D448" s="57" t="s">
        <v>174</v>
      </c>
      <c r="E448" s="57" t="s">
        <v>175</v>
      </c>
      <c r="F448" s="57">
        <f t="shared" si="13"/>
        <v>1</v>
      </c>
      <c r="G448" s="57">
        <v>7.2583000000000002</v>
      </c>
      <c r="H448" s="57">
        <v>8.1949000000000005</v>
      </c>
      <c r="I448" s="57">
        <v>7.7647000000000004</v>
      </c>
      <c r="J448" s="33">
        <f t="shared" si="9"/>
        <v>0.93660000000000032</v>
      </c>
      <c r="K448" s="33">
        <f t="shared" si="10"/>
        <v>0.50640000000000018</v>
      </c>
    </row>
    <row r="449" spans="1:12" x14ac:dyDescent="0.2">
      <c r="A449" s="70">
        <v>44655</v>
      </c>
      <c r="B449" s="57">
        <v>2381</v>
      </c>
      <c r="C449" s="57" t="s">
        <v>173</v>
      </c>
      <c r="D449" s="57" t="s">
        <v>177</v>
      </c>
      <c r="E449" s="57" t="s">
        <v>175</v>
      </c>
      <c r="F449" s="57">
        <f t="shared" si="13"/>
        <v>0</v>
      </c>
      <c r="G449" s="57">
        <v>7.3346</v>
      </c>
      <c r="H449" s="57">
        <v>7.6692</v>
      </c>
      <c r="I449" s="57">
        <v>7.4973000000000001</v>
      </c>
      <c r="J449" s="33">
        <f t="shared" si="9"/>
        <v>0.33460000000000001</v>
      </c>
      <c r="K449" s="33">
        <f t="shared" si="10"/>
        <v>0.16270000000000007</v>
      </c>
    </row>
    <row r="450" spans="1:12" x14ac:dyDescent="0.2">
      <c r="A450" s="70">
        <v>44677</v>
      </c>
      <c r="B450" s="57" t="s">
        <v>142</v>
      </c>
      <c r="C450" s="57" t="s">
        <v>176</v>
      </c>
      <c r="D450" s="57" t="s">
        <v>177</v>
      </c>
      <c r="E450" s="57" t="s">
        <v>178</v>
      </c>
      <c r="F450" s="57">
        <f t="shared" si="13"/>
        <v>0</v>
      </c>
      <c r="G450" s="57">
        <v>7.3238000000000003</v>
      </c>
      <c r="H450" s="57">
        <v>10.715299999999999</v>
      </c>
      <c r="I450" s="57">
        <v>8.6876999999999995</v>
      </c>
      <c r="J450" s="33">
        <f t="shared" si="9"/>
        <v>3.3914999999999988</v>
      </c>
      <c r="K450" s="33">
        <f t="shared" si="10"/>
        <v>1.3638999999999992</v>
      </c>
      <c r="L450" s="57">
        <v>1</v>
      </c>
    </row>
    <row r="451" spans="1:12" x14ac:dyDescent="0.2">
      <c r="A451" s="70">
        <v>44655</v>
      </c>
      <c r="B451" s="57">
        <v>2382</v>
      </c>
      <c r="C451" s="57" t="s">
        <v>173</v>
      </c>
      <c r="D451" s="57" t="s">
        <v>177</v>
      </c>
      <c r="E451" s="57" t="s">
        <v>175</v>
      </c>
      <c r="F451" s="57">
        <f t="shared" si="13"/>
        <v>0</v>
      </c>
      <c r="G451" s="57">
        <v>0</v>
      </c>
      <c r="H451" s="57">
        <v>1.3604000000000001</v>
      </c>
      <c r="I451" s="57">
        <v>0.63870000000000005</v>
      </c>
      <c r="J451" s="33">
        <f t="shared" si="9"/>
        <v>1.3604000000000001</v>
      </c>
      <c r="K451" s="33">
        <f t="shared" si="10"/>
        <v>0.63870000000000005</v>
      </c>
    </row>
    <row r="452" spans="1:12" x14ac:dyDescent="0.2">
      <c r="A452" s="70">
        <v>44655</v>
      </c>
      <c r="B452" s="57">
        <v>2382</v>
      </c>
      <c r="C452" s="57" t="s">
        <v>173</v>
      </c>
      <c r="D452" s="57" t="s">
        <v>174</v>
      </c>
      <c r="E452" s="57" t="s">
        <v>175</v>
      </c>
      <c r="F452" s="57">
        <f t="shared" si="13"/>
        <v>1</v>
      </c>
      <c r="G452" s="57">
        <v>0</v>
      </c>
      <c r="H452" s="57">
        <v>1.0719000000000001</v>
      </c>
      <c r="I452" s="57">
        <v>0.55589999999999995</v>
      </c>
      <c r="J452" s="33">
        <f t="shared" si="9"/>
        <v>1.0719000000000001</v>
      </c>
      <c r="K452" s="33">
        <f t="shared" si="10"/>
        <v>0.55589999999999995</v>
      </c>
    </row>
    <row r="453" spans="1:12" x14ac:dyDescent="0.2">
      <c r="A453" s="70">
        <v>44663</v>
      </c>
      <c r="B453" s="57">
        <v>2006</v>
      </c>
      <c r="C453" s="57" t="s">
        <v>176</v>
      </c>
      <c r="D453" s="57" t="s">
        <v>177</v>
      </c>
      <c r="E453" s="57" t="s">
        <v>178</v>
      </c>
      <c r="F453" s="57">
        <f t="shared" si="13"/>
        <v>0</v>
      </c>
      <c r="G453" s="57">
        <v>7.3939000000000004</v>
      </c>
      <c r="H453" s="57">
        <v>12.282500000000001</v>
      </c>
      <c r="I453" s="57">
        <v>9.8223000000000003</v>
      </c>
      <c r="J453" s="33">
        <f t="shared" si="9"/>
        <v>4.8886000000000003</v>
      </c>
      <c r="K453" s="33">
        <f t="shared" si="10"/>
        <v>2.4283999999999999</v>
      </c>
    </row>
    <row r="454" spans="1:12" x14ac:dyDescent="0.2">
      <c r="A454" s="70">
        <v>44655</v>
      </c>
      <c r="B454" s="57">
        <v>2380</v>
      </c>
      <c r="C454" s="57" t="s">
        <v>176</v>
      </c>
      <c r="D454" s="57" t="s">
        <v>177</v>
      </c>
      <c r="E454" s="57" t="s">
        <v>178</v>
      </c>
      <c r="F454" s="57">
        <f t="shared" si="13"/>
        <v>0</v>
      </c>
      <c r="G454" s="57">
        <v>7.3875999999999999</v>
      </c>
      <c r="H454" s="57">
        <v>8.2423999999999999</v>
      </c>
      <c r="I454" s="57">
        <v>7.7667000000000002</v>
      </c>
      <c r="J454" s="33">
        <f t="shared" si="9"/>
        <v>0.8548</v>
      </c>
      <c r="K454" s="33">
        <f t="shared" si="10"/>
        <v>0.37910000000000021</v>
      </c>
    </row>
    <row r="455" spans="1:12" x14ac:dyDescent="0.2">
      <c r="A455" s="70">
        <v>44663</v>
      </c>
      <c r="B455" s="57">
        <v>2006</v>
      </c>
      <c r="C455" s="57" t="s">
        <v>176</v>
      </c>
      <c r="D455" s="57" t="s">
        <v>177</v>
      </c>
      <c r="E455" s="57" t="s">
        <v>175</v>
      </c>
      <c r="F455" s="57">
        <f t="shared" si="13"/>
        <v>0</v>
      </c>
      <c r="G455" s="57">
        <v>7.3205999999999998</v>
      </c>
      <c r="H455" s="57">
        <v>7.9009</v>
      </c>
      <c r="I455" s="57">
        <v>7.5876000000000001</v>
      </c>
      <c r="J455" s="33">
        <f t="shared" si="9"/>
        <v>0.58030000000000026</v>
      </c>
      <c r="K455" s="33">
        <f t="shared" si="10"/>
        <v>0.26700000000000035</v>
      </c>
    </row>
    <row r="456" spans="1:12" x14ac:dyDescent="0.2">
      <c r="A456" s="70">
        <v>44655</v>
      </c>
      <c r="B456" s="57">
        <v>2093</v>
      </c>
      <c r="C456" s="57" t="s">
        <v>176</v>
      </c>
      <c r="D456" s="57" t="s">
        <v>174</v>
      </c>
      <c r="E456" s="57" t="s">
        <v>178</v>
      </c>
      <c r="F456" s="57">
        <f t="shared" si="13"/>
        <v>1</v>
      </c>
      <c r="G456" s="57">
        <v>7.5221</v>
      </c>
      <c r="H456" s="57">
        <v>9.8958999999999993</v>
      </c>
      <c r="I456" s="57">
        <v>8.9533000000000005</v>
      </c>
      <c r="J456" s="33">
        <f t="shared" si="9"/>
        <v>2.3737999999999992</v>
      </c>
      <c r="K456" s="33">
        <f t="shared" si="10"/>
        <v>1.4312000000000005</v>
      </c>
    </row>
    <row r="457" spans="1:12" x14ac:dyDescent="0.2">
      <c r="A457" s="70">
        <v>44657</v>
      </c>
      <c r="B457" s="57">
        <v>2380</v>
      </c>
      <c r="C457" s="57" t="s">
        <v>176</v>
      </c>
      <c r="D457" s="57" t="s">
        <v>174</v>
      </c>
      <c r="E457" s="57" t="s">
        <v>175</v>
      </c>
      <c r="F457" s="57">
        <f t="shared" si="13"/>
        <v>1</v>
      </c>
      <c r="G457" s="57">
        <v>6.2889999999999997</v>
      </c>
      <c r="H457" s="57">
        <v>7.5313999999999997</v>
      </c>
      <c r="I457" s="57">
        <v>7.0644999999999998</v>
      </c>
      <c r="J457" s="33">
        <f t="shared" si="9"/>
        <v>1.2423999999999999</v>
      </c>
      <c r="K457" s="33">
        <f t="shared" si="10"/>
        <v>0.77550000000000008</v>
      </c>
    </row>
    <row r="458" spans="1:12" x14ac:dyDescent="0.2">
      <c r="A458" s="70">
        <v>44655</v>
      </c>
      <c r="B458" s="57">
        <v>2385</v>
      </c>
      <c r="C458" s="57" t="s">
        <v>176</v>
      </c>
      <c r="D458" s="57" t="s">
        <v>174</v>
      </c>
      <c r="E458" s="57" t="s">
        <v>175</v>
      </c>
      <c r="F458" s="57">
        <f t="shared" si="13"/>
        <v>1</v>
      </c>
      <c r="G458" s="57">
        <v>7.3292000000000002</v>
      </c>
      <c r="H458" s="57">
        <v>8.8549000000000007</v>
      </c>
      <c r="I458" s="57">
        <v>8.0981000000000005</v>
      </c>
      <c r="J458" s="33">
        <f t="shared" si="9"/>
        <v>1.5257000000000005</v>
      </c>
      <c r="K458" s="33">
        <f t="shared" si="10"/>
        <v>0.76890000000000036</v>
      </c>
    </row>
    <row r="459" spans="1:12" x14ac:dyDescent="0.2">
      <c r="A459" s="70">
        <v>44655</v>
      </c>
      <c r="B459" s="57">
        <v>2007</v>
      </c>
      <c r="C459" s="57" t="s">
        <v>176</v>
      </c>
      <c r="D459" s="57" t="s">
        <v>177</v>
      </c>
      <c r="E459" s="57" t="s">
        <v>178</v>
      </c>
      <c r="F459" s="57">
        <f t="shared" si="13"/>
        <v>0</v>
      </c>
      <c r="G459" s="57">
        <v>7.359</v>
      </c>
      <c r="H459" s="57">
        <v>10.000299999999999</v>
      </c>
      <c r="I459" s="57">
        <v>8.7222000000000008</v>
      </c>
      <c r="J459" s="33">
        <f t="shared" si="9"/>
        <v>2.6412999999999993</v>
      </c>
      <c r="K459" s="33">
        <f t="shared" si="10"/>
        <v>1.3632000000000009</v>
      </c>
    </row>
    <row r="460" spans="1:12" x14ac:dyDescent="0.2">
      <c r="A460" s="70">
        <v>44655</v>
      </c>
      <c r="B460" s="57">
        <v>2379</v>
      </c>
      <c r="C460" s="57" t="s">
        <v>173</v>
      </c>
      <c r="D460" s="57" t="s">
        <v>174</v>
      </c>
      <c r="E460" s="57" t="s">
        <v>175</v>
      </c>
      <c r="F460" s="57">
        <f t="shared" si="13"/>
        <v>1</v>
      </c>
      <c r="G460" s="57">
        <v>0</v>
      </c>
      <c r="H460" s="57">
        <v>2.5581</v>
      </c>
      <c r="I460" s="57">
        <v>1.4762999999999999</v>
      </c>
      <c r="J460" s="33">
        <f t="shared" si="9"/>
        <v>2.5581</v>
      </c>
      <c r="K460" s="33">
        <f t="shared" si="10"/>
        <v>1.4762999999999999</v>
      </c>
    </row>
    <row r="461" spans="1:12" x14ac:dyDescent="0.2">
      <c r="A461" s="70">
        <v>44655</v>
      </c>
      <c r="B461" s="57">
        <v>2093</v>
      </c>
      <c r="C461" s="57" t="s">
        <v>176</v>
      </c>
      <c r="D461" s="57" t="s">
        <v>174</v>
      </c>
      <c r="E461" s="57" t="s">
        <v>175</v>
      </c>
      <c r="F461" s="57">
        <f t="shared" si="13"/>
        <v>1</v>
      </c>
      <c r="G461" s="57">
        <v>7.3476999999999997</v>
      </c>
      <c r="H461" s="57">
        <v>8.5176999999999996</v>
      </c>
      <c r="I461" s="57">
        <v>8.0505999999999993</v>
      </c>
      <c r="J461" s="33">
        <f t="shared" si="9"/>
        <v>1.17</v>
      </c>
      <c r="K461" s="33">
        <f t="shared" si="10"/>
        <v>0.70289999999999964</v>
      </c>
    </row>
    <row r="462" spans="1:12" x14ac:dyDescent="0.2">
      <c r="A462" s="70">
        <v>44655</v>
      </c>
      <c r="B462" s="57">
        <v>2371</v>
      </c>
      <c r="C462" s="57" t="s">
        <v>173</v>
      </c>
      <c r="D462" s="57" t="s">
        <v>177</v>
      </c>
      <c r="E462" s="57" t="s">
        <v>175</v>
      </c>
      <c r="F462" s="57">
        <f t="shared" si="13"/>
        <v>0</v>
      </c>
      <c r="G462" s="57">
        <v>6.2572999999999999</v>
      </c>
      <c r="H462" s="57">
        <v>6.6982999999999997</v>
      </c>
      <c r="I462" s="57">
        <v>6.4379999999999997</v>
      </c>
      <c r="J462" s="33">
        <f t="shared" si="9"/>
        <v>0.44099999999999984</v>
      </c>
      <c r="K462" s="33">
        <f t="shared" si="10"/>
        <v>0.18069999999999986</v>
      </c>
    </row>
    <row r="463" spans="1:12" x14ac:dyDescent="0.2">
      <c r="A463" s="70">
        <v>44655</v>
      </c>
      <c r="B463" s="57">
        <v>2005</v>
      </c>
      <c r="C463" s="57" t="s">
        <v>176</v>
      </c>
      <c r="D463" s="57" t="s">
        <v>177</v>
      </c>
      <c r="E463" s="57" t="s">
        <v>178</v>
      </c>
      <c r="F463" s="57">
        <f t="shared" si="13"/>
        <v>0</v>
      </c>
      <c r="G463" s="57">
        <v>7.4989999999999997</v>
      </c>
      <c r="H463" s="57">
        <v>11.054500000000001</v>
      </c>
      <c r="I463" s="57">
        <v>9.2053999999999991</v>
      </c>
      <c r="J463" s="33">
        <f t="shared" si="9"/>
        <v>3.5555000000000012</v>
      </c>
      <c r="K463" s="33">
        <f t="shared" si="10"/>
        <v>1.7063999999999995</v>
      </c>
    </row>
    <row r="464" spans="1:12" x14ac:dyDescent="0.2">
      <c r="A464" s="70">
        <v>44655</v>
      </c>
      <c r="B464" s="57">
        <v>2011</v>
      </c>
      <c r="C464" s="57" t="s">
        <v>173</v>
      </c>
      <c r="D464" s="57" t="s">
        <v>177</v>
      </c>
      <c r="E464" s="57" t="s">
        <v>175</v>
      </c>
      <c r="F464" s="57">
        <f t="shared" si="13"/>
        <v>0</v>
      </c>
      <c r="G464" s="57">
        <v>0</v>
      </c>
      <c r="H464" s="57">
        <v>1.8305</v>
      </c>
      <c r="I464" s="57">
        <v>0.80620000000000003</v>
      </c>
      <c r="J464" s="33">
        <f t="shared" si="9"/>
        <v>1.8305</v>
      </c>
      <c r="K464" s="33">
        <f t="shared" si="10"/>
        <v>0.80620000000000003</v>
      </c>
    </row>
    <row r="465" spans="1:12" x14ac:dyDescent="0.2">
      <c r="A465" s="70">
        <v>44655</v>
      </c>
      <c r="B465" s="57">
        <v>2088</v>
      </c>
      <c r="C465" s="57" t="s">
        <v>173</v>
      </c>
      <c r="D465" s="57" t="s">
        <v>177</v>
      </c>
      <c r="E465" s="57" t="s">
        <v>178</v>
      </c>
      <c r="F465" s="57">
        <f t="shared" si="13"/>
        <v>0</v>
      </c>
      <c r="G465" s="57">
        <v>6.2824999999999998</v>
      </c>
      <c r="H465" s="57">
        <v>9.31</v>
      </c>
      <c r="I465" s="57">
        <v>7.4055</v>
      </c>
      <c r="J465" s="33">
        <f t="shared" si="9"/>
        <v>3.0275000000000007</v>
      </c>
      <c r="K465" s="33">
        <f t="shared" si="10"/>
        <v>1.1230000000000002</v>
      </c>
    </row>
    <row r="466" spans="1:12" x14ac:dyDescent="0.2">
      <c r="A466" s="70">
        <v>44655</v>
      </c>
      <c r="B466" s="57">
        <v>2093</v>
      </c>
      <c r="C466" s="57" t="s">
        <v>176</v>
      </c>
      <c r="D466" s="57" t="s">
        <v>177</v>
      </c>
      <c r="E466" s="57" t="s">
        <v>178</v>
      </c>
      <c r="F466" s="57">
        <f t="shared" si="13"/>
        <v>0</v>
      </c>
      <c r="G466" s="57">
        <v>7.2492000000000001</v>
      </c>
      <c r="H466" s="57">
        <v>7.4734999999999996</v>
      </c>
      <c r="I466" s="57">
        <v>7.3643000000000001</v>
      </c>
      <c r="J466" s="33">
        <f t="shared" si="9"/>
        <v>0.2242999999999995</v>
      </c>
      <c r="K466" s="33">
        <f t="shared" si="10"/>
        <v>0.11509999999999998</v>
      </c>
    </row>
    <row r="467" spans="1:12" x14ac:dyDescent="0.2">
      <c r="A467" s="70">
        <v>44663</v>
      </c>
      <c r="B467" s="57">
        <v>2004</v>
      </c>
      <c r="C467" s="57" t="s">
        <v>176</v>
      </c>
      <c r="D467" s="57" t="s">
        <v>177</v>
      </c>
      <c r="E467" s="57" t="s">
        <v>175</v>
      </c>
      <c r="F467" s="57">
        <f t="shared" si="13"/>
        <v>0</v>
      </c>
      <c r="G467" s="57">
        <v>6.2656000000000001</v>
      </c>
      <c r="H467" s="57">
        <v>7.1291000000000002</v>
      </c>
      <c r="I467" s="57">
        <v>6.6593</v>
      </c>
      <c r="J467" s="33">
        <f t="shared" si="9"/>
        <v>0.86350000000000016</v>
      </c>
      <c r="K467" s="33">
        <f t="shared" si="10"/>
        <v>0.39369999999999994</v>
      </c>
    </row>
    <row r="468" spans="1:12" x14ac:dyDescent="0.2">
      <c r="A468" s="70">
        <v>44655</v>
      </c>
      <c r="B468" s="57">
        <v>2092</v>
      </c>
      <c r="C468" s="57" t="s">
        <v>176</v>
      </c>
      <c r="D468" s="57" t="s">
        <v>174</v>
      </c>
      <c r="E468" s="57" t="s">
        <v>178</v>
      </c>
      <c r="F468" s="57">
        <f t="shared" si="13"/>
        <v>1</v>
      </c>
      <c r="G468" s="57">
        <v>7.3402000000000003</v>
      </c>
      <c r="H468" s="57">
        <v>9.2477999999999998</v>
      </c>
      <c r="I468" s="57">
        <v>8.4404000000000003</v>
      </c>
      <c r="J468" s="33">
        <f t="shared" si="9"/>
        <v>1.9075999999999995</v>
      </c>
      <c r="K468" s="33">
        <f t="shared" si="10"/>
        <v>1.1002000000000001</v>
      </c>
    </row>
    <row r="469" spans="1:12" x14ac:dyDescent="0.2">
      <c r="A469" s="70">
        <v>44670</v>
      </c>
      <c r="B469" s="57" t="s">
        <v>182</v>
      </c>
      <c r="C469" s="57" t="s">
        <v>176</v>
      </c>
      <c r="D469" s="57" t="s">
        <v>177</v>
      </c>
      <c r="E469" s="57" t="s">
        <v>178</v>
      </c>
      <c r="F469" s="57">
        <f t="shared" si="13"/>
        <v>0</v>
      </c>
      <c r="G469" s="57">
        <v>7.3395000000000001</v>
      </c>
      <c r="H469" s="57">
        <v>12.494199999999999</v>
      </c>
      <c r="I469" s="57">
        <v>9.2369000000000003</v>
      </c>
      <c r="J469" s="33">
        <f t="shared" si="9"/>
        <v>5.1546999999999992</v>
      </c>
      <c r="K469" s="33">
        <f t="shared" si="10"/>
        <v>1.8974000000000002</v>
      </c>
      <c r="L469" s="57">
        <v>3</v>
      </c>
    </row>
    <row r="470" spans="1:12" x14ac:dyDescent="0.2">
      <c r="A470" s="70">
        <v>44677</v>
      </c>
      <c r="B470" s="57" t="s">
        <v>182</v>
      </c>
      <c r="C470" s="57" t="s">
        <v>176</v>
      </c>
      <c r="D470" s="57" t="s">
        <v>177</v>
      </c>
      <c r="E470" s="57" t="s">
        <v>175</v>
      </c>
      <c r="F470" s="57">
        <f t="shared" si="13"/>
        <v>0</v>
      </c>
      <c r="G470" s="57">
        <v>6.2842000000000002</v>
      </c>
      <c r="H470" s="57">
        <v>7.9237000000000002</v>
      </c>
      <c r="I470" s="57">
        <v>6.8055000000000003</v>
      </c>
      <c r="J470" s="33">
        <f t="shared" si="9"/>
        <v>1.6395</v>
      </c>
      <c r="K470" s="33">
        <f t="shared" si="10"/>
        <v>0.5213000000000001</v>
      </c>
      <c r="L470" s="57">
        <v>5</v>
      </c>
    </row>
    <row r="471" spans="1:12" x14ac:dyDescent="0.2">
      <c r="A471" s="70">
        <v>44655</v>
      </c>
      <c r="B471" s="57">
        <v>2026</v>
      </c>
      <c r="C471" s="57" t="s">
        <v>176</v>
      </c>
      <c r="D471" s="57" t="s">
        <v>174</v>
      </c>
      <c r="E471" s="57" t="s">
        <v>175</v>
      </c>
      <c r="F471" s="57">
        <f t="shared" si="13"/>
        <v>1</v>
      </c>
      <c r="G471" s="57">
        <v>7.3814000000000002</v>
      </c>
      <c r="H471" s="57">
        <v>7.9775</v>
      </c>
      <c r="I471" s="57">
        <v>7.7191999999999998</v>
      </c>
      <c r="J471" s="33">
        <f t="shared" si="9"/>
        <v>0.59609999999999985</v>
      </c>
      <c r="K471" s="33">
        <f t="shared" si="10"/>
        <v>0.33779999999999966</v>
      </c>
    </row>
    <row r="472" spans="1:12" x14ac:dyDescent="0.2">
      <c r="A472" s="70">
        <v>44677</v>
      </c>
      <c r="B472" s="57" t="s">
        <v>181</v>
      </c>
      <c r="C472" s="57" t="s">
        <v>176</v>
      </c>
      <c r="D472" s="57" t="s">
        <v>177</v>
      </c>
      <c r="E472" s="57" t="s">
        <v>175</v>
      </c>
      <c r="F472" s="57">
        <f t="shared" si="13"/>
        <v>0</v>
      </c>
      <c r="G472" s="57">
        <v>7.3483999999999998</v>
      </c>
      <c r="H472" s="57">
        <v>9.7842000000000002</v>
      </c>
      <c r="I472" s="57">
        <v>7.7976999999999999</v>
      </c>
      <c r="J472" s="33">
        <f t="shared" si="9"/>
        <v>2.4358000000000004</v>
      </c>
      <c r="K472" s="33">
        <f t="shared" si="10"/>
        <v>0.44930000000000003</v>
      </c>
      <c r="L472" s="57">
        <v>2</v>
      </c>
    </row>
    <row r="473" spans="1:12" x14ac:dyDescent="0.2">
      <c r="A473" s="70">
        <v>44663</v>
      </c>
      <c r="B473" s="57" t="s">
        <v>142</v>
      </c>
      <c r="C473" s="57" t="s">
        <v>176</v>
      </c>
      <c r="D473" s="57" t="s">
        <v>177</v>
      </c>
      <c r="E473" s="57" t="s">
        <v>178</v>
      </c>
      <c r="F473" s="57">
        <f t="shared" si="13"/>
        <v>0</v>
      </c>
      <c r="G473" s="57">
        <v>7.2404999999999999</v>
      </c>
      <c r="H473" s="57">
        <v>17.7103</v>
      </c>
      <c r="I473" s="57">
        <v>10.277100000000001</v>
      </c>
      <c r="J473" s="33">
        <f t="shared" si="9"/>
        <v>10.469799999999999</v>
      </c>
      <c r="K473" s="33">
        <f t="shared" si="10"/>
        <v>3.0366000000000009</v>
      </c>
      <c r="L473" s="57">
        <v>4</v>
      </c>
    </row>
    <row r="474" spans="1:12" x14ac:dyDescent="0.2">
      <c r="A474" s="70">
        <v>44670</v>
      </c>
      <c r="B474" s="57" t="s">
        <v>181</v>
      </c>
      <c r="C474" s="57" t="s">
        <v>176</v>
      </c>
      <c r="D474" s="57" t="s">
        <v>177</v>
      </c>
      <c r="E474" s="57" t="s">
        <v>175</v>
      </c>
      <c r="F474" s="57">
        <f t="shared" si="13"/>
        <v>0</v>
      </c>
      <c r="G474" s="57">
        <v>7.2515999999999998</v>
      </c>
      <c r="H474" s="57">
        <v>10.692500000000001</v>
      </c>
      <c r="I474" s="57">
        <v>7.8015999999999996</v>
      </c>
      <c r="J474" s="33">
        <f t="shared" si="9"/>
        <v>3.440900000000001</v>
      </c>
      <c r="K474" s="33">
        <f t="shared" si="10"/>
        <v>0.54999999999999982</v>
      </c>
      <c r="L474" s="57">
        <v>2</v>
      </c>
    </row>
    <row r="475" spans="1:12" x14ac:dyDescent="0.2">
      <c r="A475" s="70">
        <v>44663</v>
      </c>
      <c r="B475" s="57" t="s">
        <v>182</v>
      </c>
      <c r="C475" s="57" t="s">
        <v>176</v>
      </c>
      <c r="D475" s="57" t="s">
        <v>177</v>
      </c>
      <c r="E475" s="57" t="s">
        <v>178</v>
      </c>
      <c r="F475" s="57">
        <f t="shared" si="13"/>
        <v>0</v>
      </c>
      <c r="G475" s="57">
        <v>67.768100000000004</v>
      </c>
      <c r="H475" s="57">
        <v>77.416200000000003</v>
      </c>
      <c r="I475" s="57">
        <v>70.956599999999995</v>
      </c>
      <c r="J475" s="33">
        <f t="shared" si="9"/>
        <v>9.6480999999999995</v>
      </c>
      <c r="K475" s="33">
        <f t="shared" si="10"/>
        <v>3.1884999999999906</v>
      </c>
      <c r="L475" s="57">
        <v>4</v>
      </c>
    </row>
    <row r="476" spans="1:12" x14ac:dyDescent="0.2">
      <c r="A476" s="70">
        <v>44663</v>
      </c>
      <c r="B476" s="57" t="s">
        <v>182</v>
      </c>
      <c r="C476" s="57" t="s">
        <v>176</v>
      </c>
      <c r="D476" s="57" t="s">
        <v>177</v>
      </c>
      <c r="E476" s="57" t="s">
        <v>178</v>
      </c>
      <c r="F476" s="57">
        <f t="shared" si="13"/>
        <v>0</v>
      </c>
      <c r="G476" s="57">
        <v>68.880600000000001</v>
      </c>
      <c r="H476" s="57">
        <v>79.393100000000004</v>
      </c>
      <c r="I476" s="57">
        <v>72.498500000000007</v>
      </c>
      <c r="J476" s="33">
        <f t="shared" si="9"/>
        <v>10.512500000000003</v>
      </c>
      <c r="K476" s="33">
        <f t="shared" si="10"/>
        <v>3.6179000000000059</v>
      </c>
      <c r="L476" s="57">
        <v>3</v>
      </c>
    </row>
    <row r="477" spans="1:12" x14ac:dyDescent="0.2">
      <c r="A477" s="70">
        <v>44663</v>
      </c>
      <c r="B477" s="57" t="s">
        <v>142</v>
      </c>
      <c r="C477" s="57" t="s">
        <v>176</v>
      </c>
      <c r="D477" s="57" t="s">
        <v>177</v>
      </c>
      <c r="E477" s="57" t="s">
        <v>175</v>
      </c>
      <c r="F477" s="57">
        <f t="shared" si="13"/>
        <v>0</v>
      </c>
      <c r="G477" s="57">
        <v>67.361699999999999</v>
      </c>
      <c r="H477" s="57">
        <v>69.982900000000001</v>
      </c>
      <c r="I477" s="57">
        <v>68.191800000000001</v>
      </c>
      <c r="J477" s="33">
        <f t="shared" si="9"/>
        <v>2.6212000000000018</v>
      </c>
      <c r="K477" s="33">
        <f t="shared" si="10"/>
        <v>0.83010000000000161</v>
      </c>
      <c r="L477" s="57">
        <v>4</v>
      </c>
    </row>
    <row r="478" spans="1:12" x14ac:dyDescent="0.2">
      <c r="A478" s="70">
        <v>44663</v>
      </c>
      <c r="B478" s="57" t="s">
        <v>181</v>
      </c>
      <c r="C478" s="57" t="s">
        <v>176</v>
      </c>
      <c r="D478" s="57" t="s">
        <v>177</v>
      </c>
      <c r="E478" s="57" t="s">
        <v>178</v>
      </c>
      <c r="F478" s="57">
        <f t="shared" si="13"/>
        <v>0</v>
      </c>
      <c r="G478" s="57">
        <v>68.259200000000007</v>
      </c>
      <c r="H478" s="57">
        <v>86.042500000000004</v>
      </c>
      <c r="I478" s="57">
        <v>72.48</v>
      </c>
      <c r="J478" s="33">
        <f t="shared" si="9"/>
        <v>17.783299999999997</v>
      </c>
      <c r="K478" s="33">
        <f t="shared" si="10"/>
        <v>4.220799999999997</v>
      </c>
      <c r="L478" s="57">
        <v>2</v>
      </c>
    </row>
    <row r="479" spans="1:12" x14ac:dyDescent="0.2">
      <c r="A479" s="70">
        <v>44663</v>
      </c>
      <c r="B479" s="57" t="s">
        <v>142</v>
      </c>
      <c r="C479" s="57" t="s">
        <v>176</v>
      </c>
      <c r="D479" s="57" t="s">
        <v>177</v>
      </c>
      <c r="E479" s="57" t="s">
        <v>175</v>
      </c>
      <c r="F479" s="57">
        <f t="shared" si="13"/>
        <v>0</v>
      </c>
      <c r="G479" s="57">
        <v>67.781700000000001</v>
      </c>
      <c r="H479" s="57">
        <v>70.415800000000004</v>
      </c>
      <c r="I479" s="57">
        <v>68.469800000000006</v>
      </c>
      <c r="J479" s="33">
        <f t="shared" si="9"/>
        <v>2.6341000000000037</v>
      </c>
      <c r="K479" s="33">
        <f t="shared" si="10"/>
        <v>0.68810000000000571</v>
      </c>
      <c r="L479" s="57">
        <v>3</v>
      </c>
    </row>
    <row r="480" spans="1:12" x14ac:dyDescent="0.2">
      <c r="A480" s="70">
        <v>44663</v>
      </c>
      <c r="B480" s="57" t="s">
        <v>181</v>
      </c>
      <c r="C480" s="57" t="s">
        <v>176</v>
      </c>
      <c r="D480" s="57" t="s">
        <v>177</v>
      </c>
      <c r="E480" s="57" t="s">
        <v>178</v>
      </c>
      <c r="F480" s="57">
        <f t="shared" si="13"/>
        <v>0</v>
      </c>
      <c r="G480" s="57">
        <v>68.546599999999998</v>
      </c>
      <c r="H480" s="57">
        <v>86.967500000000001</v>
      </c>
      <c r="I480" s="57">
        <v>73.268799999999999</v>
      </c>
      <c r="J480" s="33">
        <f t="shared" si="9"/>
        <v>18.420900000000003</v>
      </c>
      <c r="K480" s="33">
        <f t="shared" si="10"/>
        <v>4.7222000000000008</v>
      </c>
      <c r="L480" s="57">
        <v>2</v>
      </c>
    </row>
    <row r="481" spans="1:12" x14ac:dyDescent="0.2">
      <c r="A481" s="70">
        <v>44663</v>
      </c>
      <c r="B481" s="57" t="s">
        <v>181</v>
      </c>
      <c r="C481" s="57" t="s">
        <v>176</v>
      </c>
      <c r="D481" s="57" t="s">
        <v>177</v>
      </c>
      <c r="E481" s="57" t="s">
        <v>178</v>
      </c>
      <c r="F481" s="57">
        <f t="shared" si="13"/>
        <v>0</v>
      </c>
      <c r="G481" s="57">
        <v>67.522499999999994</v>
      </c>
      <c r="H481" s="57">
        <v>76.528199999999998</v>
      </c>
      <c r="I481" s="57">
        <v>69.857500000000002</v>
      </c>
      <c r="J481" s="33">
        <f t="shared" si="9"/>
        <v>9.0057000000000045</v>
      </c>
      <c r="K481" s="33">
        <f t="shared" si="10"/>
        <v>2.335000000000008</v>
      </c>
      <c r="L481" s="57">
        <v>1</v>
      </c>
    </row>
    <row r="482" spans="1:12" x14ac:dyDescent="0.2">
      <c r="A482" s="70">
        <v>44663</v>
      </c>
      <c r="B482" s="57" t="s">
        <v>142</v>
      </c>
      <c r="C482" s="57" t="s">
        <v>176</v>
      </c>
      <c r="D482" s="57" t="s">
        <v>177</v>
      </c>
      <c r="E482" s="57" t="s">
        <v>178</v>
      </c>
      <c r="F482" s="57">
        <f t="shared" si="13"/>
        <v>0</v>
      </c>
      <c r="G482" s="57">
        <v>67.623199999999997</v>
      </c>
      <c r="H482" s="57">
        <v>78.079899999999995</v>
      </c>
      <c r="I482" s="57">
        <v>71.501199999999997</v>
      </c>
      <c r="J482" s="33">
        <f t="shared" si="9"/>
        <v>10.456699999999998</v>
      </c>
      <c r="K482" s="33">
        <f t="shared" si="10"/>
        <v>3.8780000000000001</v>
      </c>
      <c r="L482" s="57">
        <v>1</v>
      </c>
    </row>
    <row r="483" spans="1:12" x14ac:dyDescent="0.2">
      <c r="A483" s="70">
        <v>44663</v>
      </c>
      <c r="B483" s="57" t="s">
        <v>142</v>
      </c>
      <c r="C483" s="57" t="s">
        <v>176</v>
      </c>
      <c r="D483" s="57" t="s">
        <v>177</v>
      </c>
      <c r="E483" s="57" t="s">
        <v>175</v>
      </c>
      <c r="F483" s="57">
        <f t="shared" si="13"/>
        <v>0</v>
      </c>
      <c r="G483" s="57">
        <v>68.058000000000007</v>
      </c>
      <c r="H483" s="57">
        <v>71.710999999999999</v>
      </c>
      <c r="I483" s="57">
        <v>69.260400000000004</v>
      </c>
      <c r="J483" s="33">
        <f t="shared" si="9"/>
        <v>3.6529999999999916</v>
      </c>
      <c r="K483" s="33">
        <f t="shared" si="10"/>
        <v>1.2023999999999972</v>
      </c>
      <c r="L483" s="57">
        <v>1</v>
      </c>
    </row>
    <row r="484" spans="1:12" x14ac:dyDescent="0.2">
      <c r="A484" s="70">
        <v>44670</v>
      </c>
      <c r="B484" s="57" t="s">
        <v>142</v>
      </c>
      <c r="C484" s="57" t="s">
        <v>176</v>
      </c>
      <c r="D484" s="57" t="s">
        <v>177</v>
      </c>
      <c r="E484" s="57" t="s">
        <v>178</v>
      </c>
      <c r="F484" s="57">
        <f t="shared" si="13"/>
        <v>0</v>
      </c>
      <c r="G484" s="57">
        <v>7.3400999999999996</v>
      </c>
      <c r="H484" s="57">
        <v>13.097799999999999</v>
      </c>
      <c r="I484" s="57">
        <v>9.3994999999999997</v>
      </c>
      <c r="J484" s="33">
        <f t="shared" si="9"/>
        <v>5.7576999999999998</v>
      </c>
      <c r="K484" s="33">
        <f t="shared" si="10"/>
        <v>2.0594000000000001</v>
      </c>
      <c r="L484" s="57">
        <v>4</v>
      </c>
    </row>
    <row r="485" spans="1:12" x14ac:dyDescent="0.2">
      <c r="A485" s="70">
        <v>44655</v>
      </c>
      <c r="B485" s="57">
        <v>2367</v>
      </c>
      <c r="C485" s="57" t="s">
        <v>173</v>
      </c>
      <c r="D485" s="57" t="s">
        <v>177</v>
      </c>
      <c r="E485" s="57" t="s">
        <v>175</v>
      </c>
      <c r="F485" s="57">
        <f t="shared" si="13"/>
        <v>0</v>
      </c>
      <c r="G485" s="57">
        <v>0</v>
      </c>
      <c r="H485" s="57">
        <v>0.1968</v>
      </c>
      <c r="I485" s="57">
        <v>9.6199999999999994E-2</v>
      </c>
      <c r="J485" s="33">
        <f t="shared" si="9"/>
        <v>0.1968</v>
      </c>
      <c r="K485" s="33">
        <f t="shared" si="10"/>
        <v>9.6199999999999994E-2</v>
      </c>
    </row>
    <row r="486" spans="1:12" x14ac:dyDescent="0.2">
      <c r="A486" s="70">
        <v>44677</v>
      </c>
      <c r="B486" s="57" t="s">
        <v>181</v>
      </c>
      <c r="C486" s="57" t="s">
        <v>176</v>
      </c>
      <c r="D486" s="57" t="s">
        <v>177</v>
      </c>
      <c r="E486" s="57" t="s">
        <v>175</v>
      </c>
      <c r="F486" s="57">
        <f t="shared" si="13"/>
        <v>0</v>
      </c>
      <c r="G486" s="57">
        <v>7.4031000000000002</v>
      </c>
      <c r="H486" s="57">
        <v>9.8186999999999998</v>
      </c>
      <c r="I486" s="57">
        <v>7.9260999999999999</v>
      </c>
      <c r="J486" s="33">
        <f t="shared" si="9"/>
        <v>2.4155999999999995</v>
      </c>
      <c r="K486" s="33">
        <f t="shared" si="10"/>
        <v>0.52299999999999969</v>
      </c>
      <c r="L486" s="57">
        <v>2</v>
      </c>
    </row>
    <row r="487" spans="1:12" x14ac:dyDescent="0.2">
      <c r="A487" s="70">
        <v>44655</v>
      </c>
      <c r="B487" s="57">
        <v>2345</v>
      </c>
      <c r="C487" s="57" t="s">
        <v>173</v>
      </c>
      <c r="D487" s="57" t="s">
        <v>174</v>
      </c>
      <c r="E487" s="57" t="s">
        <v>175</v>
      </c>
      <c r="F487" s="57">
        <f t="shared" si="13"/>
        <v>1</v>
      </c>
      <c r="G487" s="57">
        <v>0</v>
      </c>
      <c r="H487" s="57">
        <v>0.70569999999999999</v>
      </c>
      <c r="I487" s="57">
        <v>0.41810000000000003</v>
      </c>
      <c r="J487" s="33">
        <f t="shared" si="9"/>
        <v>0.70569999999999999</v>
      </c>
      <c r="K487" s="33">
        <f t="shared" si="10"/>
        <v>0.41810000000000003</v>
      </c>
    </row>
    <row r="488" spans="1:12" x14ac:dyDescent="0.2">
      <c r="A488" s="70">
        <v>44663</v>
      </c>
      <c r="B488" s="57" t="s">
        <v>181</v>
      </c>
      <c r="C488" s="57" t="s">
        <v>176</v>
      </c>
      <c r="D488" s="57" t="s">
        <v>177</v>
      </c>
      <c r="E488" s="57" t="s">
        <v>175</v>
      </c>
      <c r="F488" s="57">
        <f t="shared" si="13"/>
        <v>0</v>
      </c>
      <c r="G488" s="57">
        <v>7.3635999999999999</v>
      </c>
      <c r="H488" s="57">
        <v>13.389099999999999</v>
      </c>
      <c r="I488" s="57">
        <v>8.0433000000000003</v>
      </c>
      <c r="J488" s="33">
        <f t="shared" si="9"/>
        <v>6.0254999999999992</v>
      </c>
      <c r="K488" s="33">
        <f t="shared" si="10"/>
        <v>0.67970000000000041</v>
      </c>
      <c r="L488" s="57">
        <v>2</v>
      </c>
    </row>
    <row r="489" spans="1:12" x14ac:dyDescent="0.2">
      <c r="A489" s="70">
        <v>44663</v>
      </c>
      <c r="B489" s="57">
        <v>2004</v>
      </c>
      <c r="C489" s="57" t="s">
        <v>176</v>
      </c>
      <c r="D489" s="57" t="s">
        <v>177</v>
      </c>
      <c r="E489" s="57" t="s">
        <v>178</v>
      </c>
      <c r="F489" s="57">
        <f t="shared" si="13"/>
        <v>0</v>
      </c>
      <c r="G489" s="57">
        <v>7.3155000000000001</v>
      </c>
      <c r="H489" s="57">
        <v>11.346</v>
      </c>
      <c r="I489" s="57">
        <v>9.3363999999999994</v>
      </c>
      <c r="J489" s="33">
        <f t="shared" si="9"/>
        <v>4.0305</v>
      </c>
      <c r="K489" s="33">
        <f t="shared" si="10"/>
        <v>2.0208999999999993</v>
      </c>
    </row>
    <row r="490" spans="1:12" x14ac:dyDescent="0.2">
      <c r="A490" s="70">
        <v>44677</v>
      </c>
      <c r="B490" s="57" t="s">
        <v>181</v>
      </c>
      <c r="C490" s="57" t="s">
        <v>176</v>
      </c>
      <c r="D490" s="57" t="s">
        <v>177</v>
      </c>
      <c r="E490" s="57" t="s">
        <v>175</v>
      </c>
      <c r="F490" s="57">
        <f t="shared" si="13"/>
        <v>0</v>
      </c>
      <c r="G490" s="57">
        <v>7.3261000000000003</v>
      </c>
      <c r="H490" s="57">
        <v>9.4760000000000009</v>
      </c>
      <c r="I490" s="57">
        <v>7.8324999999999996</v>
      </c>
      <c r="J490" s="33">
        <f t="shared" si="9"/>
        <v>2.1499000000000006</v>
      </c>
      <c r="K490" s="33">
        <f t="shared" si="10"/>
        <v>0.5063999999999993</v>
      </c>
      <c r="L490" s="57">
        <v>1</v>
      </c>
    </row>
    <row r="491" spans="1:12" x14ac:dyDescent="0.2">
      <c r="A491" s="70">
        <v>44655</v>
      </c>
      <c r="B491" s="57">
        <v>2008</v>
      </c>
      <c r="C491" s="57" t="s">
        <v>176</v>
      </c>
      <c r="D491" s="57" t="s">
        <v>177</v>
      </c>
      <c r="E491" s="57" t="s">
        <v>178</v>
      </c>
      <c r="F491" s="57">
        <f t="shared" si="13"/>
        <v>0</v>
      </c>
      <c r="G491" s="57">
        <v>7.3543000000000003</v>
      </c>
      <c r="H491" s="57">
        <v>10.4482</v>
      </c>
      <c r="I491" s="57">
        <v>8.8742999999999999</v>
      </c>
      <c r="J491" s="33">
        <f t="shared" si="9"/>
        <v>3.0938999999999997</v>
      </c>
      <c r="K491" s="33">
        <f t="shared" si="10"/>
        <v>1.5199999999999996</v>
      </c>
    </row>
    <row r="492" spans="1:12" x14ac:dyDescent="0.2">
      <c r="A492" s="70">
        <v>44655</v>
      </c>
      <c r="B492" s="57">
        <v>2365</v>
      </c>
      <c r="C492" s="57" t="s">
        <v>173</v>
      </c>
      <c r="D492" s="57" t="s">
        <v>177</v>
      </c>
      <c r="E492" s="57" t="s">
        <v>175</v>
      </c>
      <c r="F492" s="57">
        <f t="shared" si="13"/>
        <v>0</v>
      </c>
      <c r="G492" s="57">
        <v>6.2362000000000002</v>
      </c>
      <c r="H492" s="57">
        <v>6.6346999999999996</v>
      </c>
      <c r="I492" s="57">
        <v>6.4454000000000002</v>
      </c>
      <c r="J492" s="33">
        <f t="shared" si="9"/>
        <v>0.39849999999999941</v>
      </c>
      <c r="K492" s="33">
        <f t="shared" si="10"/>
        <v>0.20920000000000005</v>
      </c>
    </row>
    <row r="493" spans="1:12" x14ac:dyDescent="0.2">
      <c r="A493" s="70">
        <v>44655</v>
      </c>
      <c r="B493" s="57">
        <v>2378</v>
      </c>
      <c r="C493" s="57" t="s">
        <v>173</v>
      </c>
      <c r="D493" s="57" t="s">
        <v>177</v>
      </c>
      <c r="E493" s="57" t="s">
        <v>175</v>
      </c>
      <c r="F493" s="57">
        <f t="shared" si="13"/>
        <v>0</v>
      </c>
      <c r="G493" s="57">
        <v>6.2723000000000004</v>
      </c>
      <c r="H493" s="57">
        <v>7.1750999999999996</v>
      </c>
      <c r="I493" s="57">
        <v>6.7255000000000003</v>
      </c>
      <c r="J493" s="33">
        <f t="shared" si="9"/>
        <v>0.90279999999999916</v>
      </c>
      <c r="K493" s="33">
        <f t="shared" si="10"/>
        <v>0.45319999999999983</v>
      </c>
    </row>
    <row r="494" spans="1:12" x14ac:dyDescent="0.2">
      <c r="A494" s="70">
        <v>44655</v>
      </c>
      <c r="B494" s="57">
        <v>2375</v>
      </c>
      <c r="C494" s="57" t="s">
        <v>173</v>
      </c>
      <c r="D494" s="57" t="s">
        <v>174</v>
      </c>
      <c r="E494" s="57" t="s">
        <v>175</v>
      </c>
      <c r="F494" s="57">
        <f t="shared" si="13"/>
        <v>1</v>
      </c>
      <c r="G494" s="57">
        <v>0</v>
      </c>
      <c r="H494" s="57">
        <v>1.1976</v>
      </c>
      <c r="I494" s="57">
        <v>0.67220000000000002</v>
      </c>
      <c r="J494" s="33">
        <f t="shared" si="9"/>
        <v>1.1976</v>
      </c>
      <c r="K494" s="33">
        <f t="shared" si="10"/>
        <v>0.67220000000000002</v>
      </c>
    </row>
    <row r="495" spans="1:12" x14ac:dyDescent="0.2">
      <c r="A495" s="70">
        <v>44677</v>
      </c>
      <c r="B495" s="57" t="s">
        <v>182</v>
      </c>
      <c r="C495" s="57" t="s">
        <v>176</v>
      </c>
      <c r="D495" s="57" t="s">
        <v>177</v>
      </c>
      <c r="E495" s="57" t="s">
        <v>175</v>
      </c>
      <c r="F495" s="57">
        <f t="shared" si="13"/>
        <v>0</v>
      </c>
      <c r="G495" s="57">
        <v>7.3518999999999997</v>
      </c>
      <c r="H495" s="57">
        <v>8.5122</v>
      </c>
      <c r="I495" s="57">
        <v>7.7122999999999999</v>
      </c>
      <c r="J495" s="33">
        <f t="shared" si="9"/>
        <v>1.1603000000000003</v>
      </c>
      <c r="K495" s="33">
        <f t="shared" si="10"/>
        <v>0.36040000000000028</v>
      </c>
      <c r="L495" s="57">
        <v>3</v>
      </c>
    </row>
    <row r="496" spans="1:12" x14ac:dyDescent="0.2">
      <c r="A496" s="70">
        <v>44677</v>
      </c>
      <c r="B496" s="57" t="s">
        <v>182</v>
      </c>
      <c r="C496" s="57" t="s">
        <v>176</v>
      </c>
      <c r="D496" s="57" t="s">
        <v>177</v>
      </c>
      <c r="E496" s="57" t="s">
        <v>175</v>
      </c>
      <c r="F496" s="57">
        <f t="shared" si="13"/>
        <v>0</v>
      </c>
      <c r="G496" s="57">
        <v>7.3358999999999996</v>
      </c>
      <c r="H496" s="57">
        <v>8.7713000000000001</v>
      </c>
      <c r="I496" s="57">
        <v>7.7843999999999998</v>
      </c>
      <c r="J496" s="33">
        <f t="shared" si="9"/>
        <v>1.4354000000000005</v>
      </c>
      <c r="K496" s="33">
        <f t="shared" si="10"/>
        <v>0.44850000000000012</v>
      </c>
      <c r="L496" s="57">
        <v>4</v>
      </c>
    </row>
    <row r="497" spans="1:12" x14ac:dyDescent="0.2">
      <c r="A497" s="70">
        <v>44677</v>
      </c>
      <c r="B497" s="57" t="s">
        <v>181</v>
      </c>
      <c r="C497" s="57" t="s">
        <v>176</v>
      </c>
      <c r="D497" s="57" t="s">
        <v>177</v>
      </c>
      <c r="E497" s="57" t="s">
        <v>175</v>
      </c>
      <c r="F497" s="57">
        <f t="shared" si="13"/>
        <v>0</v>
      </c>
      <c r="G497" s="57">
        <v>7.3007999999999997</v>
      </c>
      <c r="H497" s="57">
        <v>10.181699999999999</v>
      </c>
      <c r="I497" s="57">
        <v>7.9480000000000004</v>
      </c>
      <c r="J497" s="33">
        <f t="shared" si="9"/>
        <v>2.8808999999999996</v>
      </c>
      <c r="K497" s="33">
        <f t="shared" si="10"/>
        <v>0.64720000000000066</v>
      </c>
      <c r="L497" s="57">
        <v>5</v>
      </c>
    </row>
    <row r="498" spans="1:12" x14ac:dyDescent="0.2">
      <c r="A498" s="70">
        <v>44655</v>
      </c>
      <c r="B498" s="57">
        <v>2343</v>
      </c>
      <c r="C498" s="57" t="s">
        <v>173</v>
      </c>
      <c r="D498" s="57" t="s">
        <v>174</v>
      </c>
      <c r="E498" s="57" t="s">
        <v>175</v>
      </c>
      <c r="F498" s="57">
        <f t="shared" si="13"/>
        <v>1</v>
      </c>
      <c r="G498" s="57">
        <v>6.2225999999999999</v>
      </c>
      <c r="H498" s="57">
        <v>7.4486999999999997</v>
      </c>
      <c r="I498" s="57">
        <v>6.8827999999999996</v>
      </c>
      <c r="J498" s="33">
        <f t="shared" si="9"/>
        <v>1.2260999999999997</v>
      </c>
      <c r="K498" s="33">
        <f t="shared" si="10"/>
        <v>0.66019999999999968</v>
      </c>
    </row>
    <row r="499" spans="1:12" x14ac:dyDescent="0.2">
      <c r="A499" s="70">
        <v>44655</v>
      </c>
      <c r="B499" s="57">
        <v>2088</v>
      </c>
      <c r="C499" s="57" t="s">
        <v>173</v>
      </c>
      <c r="D499" s="57" t="s">
        <v>177</v>
      </c>
      <c r="E499" s="57" t="s">
        <v>175</v>
      </c>
      <c r="F499" s="57">
        <f t="shared" si="13"/>
        <v>0</v>
      </c>
      <c r="G499" s="57">
        <v>6.2542999999999997</v>
      </c>
      <c r="H499" s="57">
        <v>6.5221999999999998</v>
      </c>
      <c r="I499" s="33">
        <f>6.2343+0.102</f>
        <v>6.3363000000000005</v>
      </c>
      <c r="J499" s="33">
        <f t="shared" si="9"/>
        <v>0.26790000000000003</v>
      </c>
      <c r="K499" s="33">
        <f t="shared" si="10"/>
        <v>8.2000000000000739E-2</v>
      </c>
    </row>
    <row r="500" spans="1:12" x14ac:dyDescent="0.2">
      <c r="A500" s="70">
        <v>44655</v>
      </c>
      <c r="B500" s="57">
        <v>2371</v>
      </c>
      <c r="C500" s="57" t="s">
        <v>173</v>
      </c>
      <c r="D500" s="57" t="s">
        <v>174</v>
      </c>
      <c r="E500" s="57" t="s">
        <v>175</v>
      </c>
      <c r="F500" s="57">
        <f t="shared" si="13"/>
        <v>1</v>
      </c>
      <c r="G500" s="57">
        <v>7.2656999999999998</v>
      </c>
      <c r="H500" s="57">
        <v>7.9885999999999999</v>
      </c>
      <c r="I500" s="33">
        <f>G500+0.398</f>
        <v>7.6636999999999995</v>
      </c>
      <c r="J500" s="33">
        <f t="shared" si="9"/>
        <v>0.7229000000000001</v>
      </c>
      <c r="K500" s="33">
        <f t="shared" si="10"/>
        <v>0.39799999999999969</v>
      </c>
    </row>
    <row r="501" spans="1:12" x14ac:dyDescent="0.2">
      <c r="A501" s="70">
        <v>44655</v>
      </c>
      <c r="B501" s="57">
        <v>2370</v>
      </c>
      <c r="C501" s="57" t="s">
        <v>173</v>
      </c>
      <c r="D501" s="57" t="s">
        <v>177</v>
      </c>
      <c r="E501" s="57" t="s">
        <v>175</v>
      </c>
      <c r="F501" s="57">
        <f t="shared" si="13"/>
        <v>0</v>
      </c>
      <c r="G501" s="57">
        <v>7.3498000000000001</v>
      </c>
      <c r="H501" s="57">
        <v>7.5198999999999998</v>
      </c>
      <c r="I501" s="33">
        <f>G501+0.121</f>
        <v>7.4708000000000006</v>
      </c>
      <c r="J501" s="33">
        <f t="shared" si="9"/>
        <v>0.1700999999999997</v>
      </c>
      <c r="K501" s="33">
        <f t="shared" si="10"/>
        <v>0.12100000000000044</v>
      </c>
    </row>
    <row r="502" spans="1:12" x14ac:dyDescent="0.2">
      <c r="A502" s="70">
        <v>44655</v>
      </c>
      <c r="B502" s="57">
        <v>2354</v>
      </c>
      <c r="C502" s="57" t="s">
        <v>173</v>
      </c>
      <c r="D502" s="57" t="s">
        <v>177</v>
      </c>
      <c r="E502" s="57" t="s">
        <v>175</v>
      </c>
      <c r="F502" s="57">
        <f t="shared" si="13"/>
        <v>0</v>
      </c>
      <c r="G502" s="57">
        <v>6.2523999999999997</v>
      </c>
      <c r="H502" s="57">
        <v>6.5209000000000001</v>
      </c>
      <c r="I502" s="33">
        <f>G502+0.12</f>
        <v>6.3723999999999998</v>
      </c>
      <c r="J502" s="33">
        <f t="shared" si="9"/>
        <v>0.26850000000000041</v>
      </c>
      <c r="K502" s="33">
        <f t="shared" si="10"/>
        <v>0.12000000000000011</v>
      </c>
    </row>
    <row r="503" spans="1:12" x14ac:dyDescent="0.2">
      <c r="A503" s="70">
        <v>44655</v>
      </c>
      <c r="B503" s="57">
        <v>2343</v>
      </c>
      <c r="C503" s="57" t="s">
        <v>173</v>
      </c>
      <c r="D503" s="57" t="s">
        <v>177</v>
      </c>
      <c r="E503" s="57" t="s">
        <v>175</v>
      </c>
      <c r="F503" s="57">
        <f t="shared" si="13"/>
        <v>0</v>
      </c>
      <c r="G503" s="57">
        <v>7.2698</v>
      </c>
      <c r="H503" s="57">
        <v>8.3762000000000008</v>
      </c>
      <c r="I503" s="33">
        <f>G503+0.47</f>
        <v>7.7397999999999998</v>
      </c>
      <c r="J503" s="33">
        <f t="shared" si="9"/>
        <v>1.1064000000000007</v>
      </c>
      <c r="K503" s="33">
        <f t="shared" si="10"/>
        <v>0.46999999999999975</v>
      </c>
    </row>
    <row r="504" spans="1:12" x14ac:dyDescent="0.2">
      <c r="A504" s="70">
        <v>44655</v>
      </c>
      <c r="B504" s="57">
        <v>2377</v>
      </c>
      <c r="C504" s="57" t="s">
        <v>173</v>
      </c>
      <c r="D504" s="57" t="s">
        <v>177</v>
      </c>
      <c r="E504" s="57" t="s">
        <v>175</v>
      </c>
      <c r="F504" s="57">
        <f t="shared" si="13"/>
        <v>0</v>
      </c>
      <c r="G504" s="57">
        <v>7.2812999999999999</v>
      </c>
      <c r="H504" s="57">
        <v>7.4154</v>
      </c>
      <c r="I504" s="33">
        <f>G504+0.063</f>
        <v>7.3442999999999996</v>
      </c>
      <c r="J504" s="33">
        <f t="shared" si="9"/>
        <v>0.13410000000000011</v>
      </c>
      <c r="K504" s="33">
        <f t="shared" si="10"/>
        <v>6.2999999999999723E-2</v>
      </c>
    </row>
    <row r="505" spans="1:12" x14ac:dyDescent="0.2">
      <c r="A505" s="70">
        <v>44655</v>
      </c>
      <c r="B505" s="57">
        <v>2384</v>
      </c>
      <c r="C505" s="57" t="s">
        <v>173</v>
      </c>
      <c r="D505" s="57" t="s">
        <v>174</v>
      </c>
      <c r="E505" s="57" t="s">
        <v>175</v>
      </c>
      <c r="F505" s="57">
        <f t="shared" si="13"/>
        <v>1</v>
      </c>
      <c r="G505" s="57">
        <v>7.2988</v>
      </c>
      <c r="H505" s="57">
        <v>7.8798000000000004</v>
      </c>
      <c r="I505" s="33">
        <f>G505+0.36</f>
        <v>7.6588000000000003</v>
      </c>
      <c r="J505" s="33">
        <f t="shared" si="9"/>
        <v>0.58100000000000041</v>
      </c>
      <c r="K505" s="33">
        <f t="shared" si="10"/>
        <v>0.36000000000000032</v>
      </c>
    </row>
    <row r="506" spans="1:12" x14ac:dyDescent="0.2">
      <c r="A506" s="70">
        <v>44655</v>
      </c>
      <c r="B506" s="57">
        <v>2029</v>
      </c>
      <c r="C506" s="57" t="s">
        <v>176</v>
      </c>
      <c r="D506" s="57" t="s">
        <v>174</v>
      </c>
      <c r="E506" s="57" t="s">
        <v>175</v>
      </c>
      <c r="F506" s="57">
        <f t="shared" si="13"/>
        <v>1</v>
      </c>
      <c r="G506" s="57">
        <v>7.3444000000000003</v>
      </c>
      <c r="H506" s="57">
        <v>8.2719000000000005</v>
      </c>
      <c r="I506" s="33">
        <f>G506+0.542</f>
        <v>7.8864000000000001</v>
      </c>
      <c r="J506" s="33">
        <f t="shared" si="9"/>
        <v>0.92750000000000021</v>
      </c>
      <c r="K506" s="33">
        <f t="shared" si="10"/>
        <v>0.54199999999999982</v>
      </c>
    </row>
    <row r="507" spans="1:12" x14ac:dyDescent="0.2">
      <c r="A507" s="70">
        <v>44655</v>
      </c>
      <c r="B507" s="57">
        <v>2331</v>
      </c>
      <c r="C507" s="57" t="s">
        <v>173</v>
      </c>
      <c r="D507" s="57" t="s">
        <v>177</v>
      </c>
      <c r="E507" s="57" t="s">
        <v>178</v>
      </c>
      <c r="F507" s="57">
        <f t="shared" si="13"/>
        <v>0</v>
      </c>
      <c r="G507" s="57">
        <v>7.2930999999999999</v>
      </c>
      <c r="H507" s="57">
        <v>7.3791000000000002</v>
      </c>
      <c r="I507" s="33">
        <f>G507+0.045</f>
        <v>7.3380999999999998</v>
      </c>
      <c r="J507" s="33">
        <f t="shared" si="9"/>
        <v>8.6000000000000298E-2</v>
      </c>
      <c r="K507" s="33">
        <f t="shared" si="10"/>
        <v>4.4999999999999929E-2</v>
      </c>
    </row>
    <row r="508" spans="1:12" x14ac:dyDescent="0.2">
      <c r="A508" s="70">
        <v>44655</v>
      </c>
      <c r="B508" s="57">
        <v>2022</v>
      </c>
      <c r="C508" s="57" t="s">
        <v>173</v>
      </c>
      <c r="D508" s="57" t="s">
        <v>174</v>
      </c>
      <c r="E508" s="57" t="s">
        <v>178</v>
      </c>
      <c r="F508" s="57">
        <f t="shared" si="13"/>
        <v>1</v>
      </c>
      <c r="G508" s="57">
        <v>26.230599999999999</v>
      </c>
      <c r="H508" s="57">
        <v>32.479999999999997</v>
      </c>
      <c r="I508" s="57">
        <v>29.4711</v>
      </c>
      <c r="J508" s="33">
        <f t="shared" si="9"/>
        <v>6.2493999999999978</v>
      </c>
      <c r="K508" s="33">
        <f t="shared" si="10"/>
        <v>3.2405000000000008</v>
      </c>
    </row>
    <row r="509" spans="1:12" x14ac:dyDescent="0.2">
      <c r="A509" s="70">
        <v>44655</v>
      </c>
      <c r="B509" s="57">
        <v>2091</v>
      </c>
      <c r="C509" s="57" t="s">
        <v>60</v>
      </c>
      <c r="D509" s="57" t="s">
        <v>174</v>
      </c>
      <c r="E509" s="57" t="s">
        <v>178</v>
      </c>
      <c r="F509" s="57">
        <f t="shared" si="13"/>
        <v>1</v>
      </c>
      <c r="G509" s="57">
        <v>26.3202</v>
      </c>
      <c r="H509" s="57">
        <v>30.648599999999998</v>
      </c>
      <c r="I509" s="57">
        <v>28.9847</v>
      </c>
      <c r="J509" s="33">
        <f t="shared" si="9"/>
        <v>4.3283999999999985</v>
      </c>
      <c r="K509" s="33">
        <f t="shared" si="10"/>
        <v>2.6645000000000003</v>
      </c>
    </row>
    <row r="510" spans="1:12" x14ac:dyDescent="0.2">
      <c r="A510" s="70">
        <v>44655</v>
      </c>
      <c r="B510" s="57">
        <v>2029</v>
      </c>
      <c r="C510" s="57" t="s">
        <v>176</v>
      </c>
      <c r="D510" s="57" t="s">
        <v>177</v>
      </c>
      <c r="E510" s="57" t="s">
        <v>178</v>
      </c>
      <c r="F510" s="57">
        <f t="shared" si="13"/>
        <v>0</v>
      </c>
      <c r="G510" s="57">
        <v>26.166499999999999</v>
      </c>
      <c r="H510" s="57">
        <v>30.701899999999998</v>
      </c>
      <c r="I510" s="57">
        <v>28.335799999999999</v>
      </c>
      <c r="J510" s="33">
        <f t="shared" si="9"/>
        <v>4.5353999999999992</v>
      </c>
      <c r="K510" s="33">
        <f t="shared" si="10"/>
        <v>2.1692999999999998</v>
      </c>
    </row>
    <row r="511" spans="1:12" x14ac:dyDescent="0.2">
      <c r="A511" s="70">
        <v>44655</v>
      </c>
      <c r="B511" s="57">
        <v>2087</v>
      </c>
      <c r="C511" s="57" t="s">
        <v>173</v>
      </c>
      <c r="D511" s="57" t="s">
        <v>174</v>
      </c>
      <c r="E511" s="57" t="s">
        <v>175</v>
      </c>
      <c r="F511" s="57">
        <f t="shared" si="13"/>
        <v>1</v>
      </c>
      <c r="G511" s="57">
        <v>26.232600000000001</v>
      </c>
      <c r="H511" s="57">
        <v>27.374099999999999</v>
      </c>
      <c r="I511" s="57">
        <v>26.728300000000001</v>
      </c>
      <c r="J511" s="33">
        <f t="shared" si="9"/>
        <v>1.1414999999999971</v>
      </c>
      <c r="K511" s="33">
        <f t="shared" si="10"/>
        <v>0.49569999999999936</v>
      </c>
    </row>
    <row r="512" spans="1:12" x14ac:dyDescent="0.2">
      <c r="A512" s="70">
        <v>44655</v>
      </c>
      <c r="B512" s="57">
        <v>2028</v>
      </c>
      <c r="C512" s="57" t="s">
        <v>176</v>
      </c>
      <c r="D512" s="57" t="s">
        <v>177</v>
      </c>
      <c r="E512" s="57" t="s">
        <v>178</v>
      </c>
      <c r="F512" s="57">
        <f t="shared" si="13"/>
        <v>0</v>
      </c>
      <c r="G512" s="57">
        <v>26.285499999999999</v>
      </c>
      <c r="H512" s="57">
        <v>31.348400000000002</v>
      </c>
      <c r="I512" s="57">
        <v>29.126200000000001</v>
      </c>
      <c r="J512" s="33">
        <f t="shared" ref="J512:J766" si="14">H512-G512</f>
        <v>5.0629000000000026</v>
      </c>
      <c r="K512" s="33">
        <f t="shared" ref="K512:K766" si="15">I512-G512</f>
        <v>2.8407000000000018</v>
      </c>
    </row>
    <row r="513" spans="1:11" x14ac:dyDescent="0.2">
      <c r="A513" s="70">
        <v>44655</v>
      </c>
      <c r="B513" s="57">
        <v>2011</v>
      </c>
      <c r="C513" s="57" t="s">
        <v>173</v>
      </c>
      <c r="D513" s="57" t="s">
        <v>177</v>
      </c>
      <c r="E513" s="57" t="s">
        <v>175</v>
      </c>
      <c r="F513" s="57">
        <f t="shared" si="13"/>
        <v>0</v>
      </c>
      <c r="G513" s="57">
        <v>26.0519</v>
      </c>
      <c r="H513" s="57">
        <v>26.518000000000001</v>
      </c>
      <c r="I513" s="57">
        <v>26.236799999999999</v>
      </c>
      <c r="J513" s="33">
        <f t="shared" si="14"/>
        <v>0.46610000000000085</v>
      </c>
      <c r="K513" s="33">
        <f t="shared" si="15"/>
        <v>0.18489999999999895</v>
      </c>
    </row>
    <row r="514" spans="1:11" x14ac:dyDescent="0.2">
      <c r="A514" s="70">
        <v>44655</v>
      </c>
      <c r="B514" s="57">
        <v>2028</v>
      </c>
      <c r="C514" s="57" t="s">
        <v>176</v>
      </c>
      <c r="D514" s="57" t="s">
        <v>177</v>
      </c>
      <c r="E514" s="57" t="s">
        <v>175</v>
      </c>
      <c r="F514" s="57">
        <f t="shared" si="13"/>
        <v>0</v>
      </c>
      <c r="G514" s="57">
        <v>15.347099999999999</v>
      </c>
      <c r="H514" s="57">
        <v>15.803699999999999</v>
      </c>
      <c r="I514" s="57">
        <v>15.534700000000001</v>
      </c>
      <c r="J514" s="33">
        <f t="shared" si="14"/>
        <v>0.45659999999999989</v>
      </c>
      <c r="K514" s="33">
        <f t="shared" si="15"/>
        <v>0.18760000000000154</v>
      </c>
    </row>
    <row r="515" spans="1:11" x14ac:dyDescent="0.2">
      <c r="A515" s="70">
        <v>44655</v>
      </c>
      <c r="B515" s="57">
        <v>2093</v>
      </c>
      <c r="C515" s="57" t="s">
        <v>173</v>
      </c>
      <c r="D515" s="57" t="s">
        <v>174</v>
      </c>
      <c r="E515" s="57" t="s">
        <v>175</v>
      </c>
      <c r="F515" s="57">
        <f t="shared" si="13"/>
        <v>1</v>
      </c>
      <c r="G515" s="57">
        <v>26.293500000000002</v>
      </c>
      <c r="H515" s="57">
        <v>27.4909</v>
      </c>
      <c r="I515" s="57">
        <v>26.910799999999998</v>
      </c>
      <c r="J515" s="33">
        <f t="shared" si="14"/>
        <v>1.1973999999999982</v>
      </c>
      <c r="K515" s="33">
        <f t="shared" si="15"/>
        <v>0.61729999999999663</v>
      </c>
    </row>
    <row r="516" spans="1:11" x14ac:dyDescent="0.2">
      <c r="A516" s="70">
        <v>44655</v>
      </c>
      <c r="B516" s="57">
        <v>2021</v>
      </c>
      <c r="C516" s="57" t="s">
        <v>176</v>
      </c>
      <c r="D516" s="57" t="s">
        <v>177</v>
      </c>
      <c r="E516" s="57" t="s">
        <v>178</v>
      </c>
      <c r="F516" s="57">
        <f t="shared" si="13"/>
        <v>0</v>
      </c>
      <c r="G516" s="57">
        <v>25.8127</v>
      </c>
      <c r="H516" s="57">
        <v>30.0684</v>
      </c>
      <c r="I516" s="57">
        <v>27.685700000000001</v>
      </c>
      <c r="J516" s="33">
        <f t="shared" si="14"/>
        <v>4.2557000000000009</v>
      </c>
      <c r="K516" s="33">
        <f t="shared" si="15"/>
        <v>1.8730000000000011</v>
      </c>
    </row>
    <row r="517" spans="1:11" x14ac:dyDescent="0.2">
      <c r="A517" s="70">
        <v>44655</v>
      </c>
      <c r="B517" s="57">
        <v>2020</v>
      </c>
      <c r="C517" s="57" t="s">
        <v>176</v>
      </c>
      <c r="D517" s="57" t="s">
        <v>177</v>
      </c>
      <c r="E517" s="57" t="s">
        <v>178</v>
      </c>
      <c r="F517" s="57">
        <f t="shared" si="13"/>
        <v>0</v>
      </c>
      <c r="G517" s="57">
        <v>26.411899999999999</v>
      </c>
      <c r="H517" s="57">
        <v>30.912400000000002</v>
      </c>
      <c r="I517" s="57">
        <v>28.592600000000001</v>
      </c>
      <c r="J517" s="33">
        <f t="shared" si="14"/>
        <v>4.5005000000000024</v>
      </c>
      <c r="K517" s="33">
        <f t="shared" si="15"/>
        <v>2.1807000000000016</v>
      </c>
    </row>
    <row r="518" spans="1:11" x14ac:dyDescent="0.2">
      <c r="A518" s="70">
        <v>44655</v>
      </c>
      <c r="B518" s="57">
        <v>2013</v>
      </c>
      <c r="C518" s="57" t="s">
        <v>176</v>
      </c>
      <c r="D518" s="57" t="s">
        <v>177</v>
      </c>
      <c r="E518" s="57" t="s">
        <v>178</v>
      </c>
      <c r="F518" s="57">
        <f t="shared" si="13"/>
        <v>0</v>
      </c>
      <c r="G518" s="57">
        <v>26.389299999999999</v>
      </c>
      <c r="H518" s="57">
        <v>30.401700000000002</v>
      </c>
      <c r="I518" s="57">
        <v>27.778400000000001</v>
      </c>
      <c r="J518" s="33">
        <f t="shared" si="14"/>
        <v>4.0124000000000031</v>
      </c>
      <c r="K518" s="33">
        <f t="shared" si="15"/>
        <v>1.3891000000000027</v>
      </c>
    </row>
    <row r="519" spans="1:11" x14ac:dyDescent="0.2">
      <c r="A519" s="70">
        <v>44655</v>
      </c>
      <c r="B519" s="57">
        <v>2025</v>
      </c>
      <c r="C519" s="57" t="s">
        <v>176</v>
      </c>
      <c r="D519" s="57" t="s">
        <v>177</v>
      </c>
      <c r="E519" s="57" t="s">
        <v>175</v>
      </c>
      <c r="F519" s="57">
        <f t="shared" si="13"/>
        <v>0</v>
      </c>
      <c r="G519" s="57">
        <v>26.253599999999999</v>
      </c>
      <c r="H519" s="57">
        <v>26.668600000000001</v>
      </c>
      <c r="I519" s="57">
        <v>26.582000000000001</v>
      </c>
      <c r="J519" s="33">
        <f t="shared" si="14"/>
        <v>0.4150000000000027</v>
      </c>
      <c r="K519" s="33">
        <f t="shared" si="15"/>
        <v>0.32840000000000202</v>
      </c>
    </row>
    <row r="520" spans="1:11" x14ac:dyDescent="0.2">
      <c r="A520" s="70">
        <v>44655</v>
      </c>
      <c r="B520" s="57">
        <v>2020</v>
      </c>
      <c r="C520" s="57" t="s">
        <v>176</v>
      </c>
      <c r="D520" s="57" t="s">
        <v>177</v>
      </c>
      <c r="E520" s="57" t="s">
        <v>175</v>
      </c>
      <c r="F520" s="57">
        <f t="shared" si="13"/>
        <v>0</v>
      </c>
      <c r="G520" s="57">
        <v>26.193200000000001</v>
      </c>
      <c r="H520" s="57">
        <v>26.969200000000001</v>
      </c>
      <c r="I520" s="57">
        <v>26.522500000000001</v>
      </c>
      <c r="J520" s="33">
        <f t="shared" si="14"/>
        <v>0.7759999999999998</v>
      </c>
      <c r="K520" s="33">
        <f t="shared" si="15"/>
        <v>0.32929999999999993</v>
      </c>
    </row>
    <row r="521" spans="1:11" x14ac:dyDescent="0.2">
      <c r="A521" s="70">
        <v>44655</v>
      </c>
      <c r="B521" s="57">
        <v>2089</v>
      </c>
      <c r="C521" s="57" t="s">
        <v>173</v>
      </c>
      <c r="D521" s="57" t="s">
        <v>174</v>
      </c>
      <c r="E521" s="57" t="s">
        <v>178</v>
      </c>
      <c r="F521" s="57">
        <f t="shared" si="13"/>
        <v>1</v>
      </c>
      <c r="G521" s="57">
        <v>25.828900000000001</v>
      </c>
      <c r="H521" s="57">
        <v>30.417100000000001</v>
      </c>
      <c r="I521" s="57">
        <v>28.238</v>
      </c>
      <c r="J521" s="33">
        <f t="shared" si="14"/>
        <v>4.5882000000000005</v>
      </c>
      <c r="K521" s="33">
        <f t="shared" si="15"/>
        <v>2.4090999999999987</v>
      </c>
    </row>
    <row r="522" spans="1:11" x14ac:dyDescent="0.2">
      <c r="A522" s="70">
        <v>44655</v>
      </c>
      <c r="B522" s="57">
        <v>2024</v>
      </c>
      <c r="C522" s="57" t="s">
        <v>173</v>
      </c>
      <c r="D522" s="57" t="s">
        <v>177</v>
      </c>
      <c r="E522" s="57" t="s">
        <v>175</v>
      </c>
      <c r="F522" s="57">
        <f t="shared" si="13"/>
        <v>0</v>
      </c>
      <c r="G522" s="57">
        <v>25.754300000000001</v>
      </c>
      <c r="H522" s="57">
        <v>26.68</v>
      </c>
      <c r="I522" s="57">
        <v>25.950600000000001</v>
      </c>
      <c r="J522" s="33">
        <f t="shared" si="14"/>
        <v>0.92569999999999908</v>
      </c>
      <c r="K522" s="33">
        <f t="shared" si="15"/>
        <v>0.19630000000000081</v>
      </c>
    </row>
    <row r="523" spans="1:11" x14ac:dyDescent="0.2">
      <c r="A523" s="70">
        <v>44655</v>
      </c>
      <c r="B523" s="57">
        <v>2005</v>
      </c>
      <c r="C523" s="57" t="s">
        <v>173</v>
      </c>
      <c r="D523" s="57" t="s">
        <v>177</v>
      </c>
      <c r="E523" s="57" t="s">
        <v>178</v>
      </c>
      <c r="F523" s="57">
        <f t="shared" si="13"/>
        <v>0</v>
      </c>
      <c r="G523" s="57">
        <v>25.7242</v>
      </c>
      <c r="H523" s="57">
        <v>32.889499999999998</v>
      </c>
      <c r="I523" s="57">
        <v>28.815300000000001</v>
      </c>
      <c r="J523" s="33">
        <f t="shared" si="14"/>
        <v>7.1652999999999984</v>
      </c>
      <c r="K523" s="33">
        <f t="shared" si="15"/>
        <v>3.0911000000000008</v>
      </c>
    </row>
    <row r="524" spans="1:11" x14ac:dyDescent="0.2">
      <c r="A524" s="70">
        <v>44655</v>
      </c>
      <c r="B524" s="57">
        <v>2021</v>
      </c>
      <c r="C524" s="57" t="s">
        <v>176</v>
      </c>
      <c r="D524" s="57" t="s">
        <v>177</v>
      </c>
      <c r="E524" s="57" t="s">
        <v>175</v>
      </c>
      <c r="F524" s="57">
        <f t="shared" si="13"/>
        <v>0</v>
      </c>
      <c r="G524" s="57">
        <v>15.343999999999999</v>
      </c>
      <c r="H524" s="57">
        <v>15.7636</v>
      </c>
      <c r="I524" s="57">
        <v>15.5144</v>
      </c>
      <c r="J524" s="33">
        <f t="shared" si="14"/>
        <v>0.41960000000000086</v>
      </c>
      <c r="K524" s="33">
        <f t="shared" si="15"/>
        <v>0.17040000000000077</v>
      </c>
    </row>
    <row r="525" spans="1:11" x14ac:dyDescent="0.2">
      <c r="A525" s="70">
        <v>44655</v>
      </c>
      <c r="B525" s="57">
        <v>2022</v>
      </c>
      <c r="C525" s="57" t="s">
        <v>176</v>
      </c>
      <c r="D525" s="57" t="s">
        <v>174</v>
      </c>
      <c r="E525" s="57" t="s">
        <v>175</v>
      </c>
      <c r="F525" s="57">
        <f t="shared" si="13"/>
        <v>1</v>
      </c>
      <c r="G525" s="57">
        <v>26.583200000000001</v>
      </c>
      <c r="H525" s="57">
        <v>26.75</v>
      </c>
      <c r="I525" s="57">
        <v>26.9055</v>
      </c>
      <c r="J525" s="33">
        <f t="shared" si="14"/>
        <v>0.16679999999999851</v>
      </c>
      <c r="K525" s="33">
        <f t="shared" si="15"/>
        <v>0.32229999999999848</v>
      </c>
    </row>
    <row r="526" spans="1:11" x14ac:dyDescent="0.2">
      <c r="A526" s="70">
        <v>44655</v>
      </c>
      <c r="B526" s="57">
        <v>2027</v>
      </c>
      <c r="C526" s="57" t="s">
        <v>176</v>
      </c>
      <c r="D526" s="57" t="s">
        <v>177</v>
      </c>
      <c r="E526" s="57" t="s">
        <v>175</v>
      </c>
      <c r="F526" s="57">
        <f t="shared" si="13"/>
        <v>0</v>
      </c>
      <c r="G526" s="57">
        <v>26.2668</v>
      </c>
      <c r="H526" s="57">
        <v>26.964200000000002</v>
      </c>
      <c r="I526" s="57">
        <v>26.599399999999999</v>
      </c>
      <c r="J526" s="33">
        <f t="shared" si="14"/>
        <v>0.6974000000000018</v>
      </c>
      <c r="K526" s="33">
        <f t="shared" si="15"/>
        <v>0.33259999999999934</v>
      </c>
    </row>
    <row r="527" spans="1:11" x14ac:dyDescent="0.2">
      <c r="A527" s="70">
        <v>44655</v>
      </c>
      <c r="B527" s="57">
        <v>2087</v>
      </c>
      <c r="C527" s="57" t="s">
        <v>173</v>
      </c>
      <c r="D527" s="57" t="s">
        <v>177</v>
      </c>
      <c r="E527" s="57" t="s">
        <v>175</v>
      </c>
      <c r="F527" s="57">
        <f t="shared" si="13"/>
        <v>0</v>
      </c>
      <c r="G527" s="57">
        <v>26.355</v>
      </c>
      <c r="H527" s="57">
        <v>26.967300000000002</v>
      </c>
      <c r="I527" s="57">
        <v>26.6509</v>
      </c>
      <c r="J527" s="33">
        <f t="shared" si="14"/>
        <v>0.61230000000000118</v>
      </c>
      <c r="K527" s="33">
        <f t="shared" si="15"/>
        <v>0.29589999999999961</v>
      </c>
    </row>
    <row r="528" spans="1:11" x14ac:dyDescent="0.2">
      <c r="A528" s="70">
        <v>44655</v>
      </c>
      <c r="B528" s="57">
        <v>2014</v>
      </c>
      <c r="C528" s="57" t="s">
        <v>176</v>
      </c>
      <c r="D528" s="57" t="s">
        <v>177</v>
      </c>
      <c r="E528" s="57" t="s">
        <v>178</v>
      </c>
      <c r="F528" s="57">
        <f t="shared" si="13"/>
        <v>0</v>
      </c>
      <c r="G528" s="57">
        <v>25.927199999999999</v>
      </c>
      <c r="H528" s="57">
        <v>28.7987</v>
      </c>
      <c r="I528" s="57">
        <v>26.934200000000001</v>
      </c>
      <c r="J528" s="33">
        <f t="shared" si="14"/>
        <v>2.8715000000000011</v>
      </c>
      <c r="K528" s="33">
        <f t="shared" si="15"/>
        <v>1.0070000000000014</v>
      </c>
    </row>
    <row r="529" spans="1:11" x14ac:dyDescent="0.2">
      <c r="A529" s="70">
        <v>44655</v>
      </c>
      <c r="B529" s="57">
        <v>2086</v>
      </c>
      <c r="C529" s="57" t="s">
        <v>173</v>
      </c>
      <c r="D529" s="57" t="s">
        <v>177</v>
      </c>
      <c r="E529" s="57" t="s">
        <v>178</v>
      </c>
      <c r="F529" s="57">
        <f t="shared" si="13"/>
        <v>0</v>
      </c>
      <c r="G529" s="57">
        <v>25.790199999999999</v>
      </c>
      <c r="H529" s="57">
        <v>31.0075</v>
      </c>
      <c r="I529" s="57">
        <v>27.328499999999998</v>
      </c>
      <c r="J529" s="33">
        <f t="shared" si="14"/>
        <v>5.2173000000000016</v>
      </c>
      <c r="K529" s="33">
        <f t="shared" si="15"/>
        <v>1.5382999999999996</v>
      </c>
    </row>
    <row r="530" spans="1:11" x14ac:dyDescent="0.2">
      <c r="A530" s="70">
        <v>44655</v>
      </c>
      <c r="B530" s="57">
        <v>2031</v>
      </c>
      <c r="C530" s="57" t="s">
        <v>173</v>
      </c>
      <c r="D530" s="57" t="s">
        <v>177</v>
      </c>
      <c r="E530" s="57" t="s">
        <v>175</v>
      </c>
      <c r="F530" s="57">
        <f t="shared" si="13"/>
        <v>0</v>
      </c>
      <c r="G530" s="57">
        <v>25.926500000000001</v>
      </c>
      <c r="H530" s="57">
        <v>26.647400000000001</v>
      </c>
      <c r="I530" s="57">
        <v>26.056100000000001</v>
      </c>
      <c r="J530" s="33">
        <f t="shared" si="14"/>
        <v>0.72090000000000032</v>
      </c>
      <c r="K530" s="33">
        <f t="shared" si="15"/>
        <v>0.12959999999999994</v>
      </c>
    </row>
    <row r="531" spans="1:11" x14ac:dyDescent="0.2">
      <c r="A531" s="70">
        <v>44655</v>
      </c>
      <c r="B531" s="57">
        <v>2086</v>
      </c>
      <c r="C531" s="57" t="s">
        <v>173</v>
      </c>
      <c r="D531" s="57" t="s">
        <v>177</v>
      </c>
      <c r="E531" s="57" t="s">
        <v>175</v>
      </c>
      <c r="F531" s="57">
        <f t="shared" si="13"/>
        <v>0</v>
      </c>
      <c r="G531" s="57">
        <v>26.529900000000001</v>
      </c>
      <c r="H531" s="57">
        <v>27.6661</v>
      </c>
      <c r="I531" s="57">
        <v>26.864999999999998</v>
      </c>
      <c r="J531" s="33">
        <f t="shared" si="14"/>
        <v>1.1361999999999988</v>
      </c>
      <c r="K531" s="33">
        <f t="shared" si="15"/>
        <v>0.33509999999999707</v>
      </c>
    </row>
    <row r="532" spans="1:11" x14ac:dyDescent="0.2">
      <c r="A532" s="70">
        <v>44655</v>
      </c>
      <c r="B532" s="57">
        <v>2091</v>
      </c>
      <c r="C532" s="57" t="s">
        <v>60</v>
      </c>
      <c r="D532" s="57" t="s">
        <v>174</v>
      </c>
      <c r="E532" s="57" t="s">
        <v>175</v>
      </c>
      <c r="F532" s="57">
        <f t="shared" si="13"/>
        <v>1</v>
      </c>
      <c r="G532" s="57">
        <v>26.166399999999999</v>
      </c>
      <c r="H532" s="57">
        <v>27.2728</v>
      </c>
      <c r="I532" s="57">
        <v>26.900099999999998</v>
      </c>
      <c r="J532" s="33">
        <f t="shared" si="14"/>
        <v>1.1064000000000007</v>
      </c>
      <c r="K532" s="33">
        <f t="shared" si="15"/>
        <v>0.73369999999999891</v>
      </c>
    </row>
    <row r="533" spans="1:11" x14ac:dyDescent="0.2">
      <c r="A533" s="70">
        <v>44655</v>
      </c>
      <c r="B533" s="57">
        <v>2028</v>
      </c>
      <c r="C533" s="57" t="s">
        <v>173</v>
      </c>
      <c r="D533" s="57" t="s">
        <v>177</v>
      </c>
      <c r="E533" s="57" t="s">
        <v>175</v>
      </c>
      <c r="F533" s="57">
        <f t="shared" si="13"/>
        <v>0</v>
      </c>
      <c r="G533" s="57">
        <v>26.055900000000001</v>
      </c>
      <c r="H533" s="57">
        <v>26.5931</v>
      </c>
      <c r="I533" s="57">
        <v>26.232600000000001</v>
      </c>
      <c r="J533" s="33">
        <f t="shared" si="14"/>
        <v>0.53719999999999857</v>
      </c>
      <c r="K533" s="33">
        <f t="shared" si="15"/>
        <v>0.1767000000000003</v>
      </c>
    </row>
    <row r="534" spans="1:11" x14ac:dyDescent="0.2">
      <c r="A534" s="70">
        <v>44655</v>
      </c>
      <c r="B534" s="57">
        <v>2015</v>
      </c>
      <c r="C534" s="57" t="s">
        <v>173</v>
      </c>
      <c r="D534" s="57" t="s">
        <v>174</v>
      </c>
      <c r="E534" s="57" t="s">
        <v>175</v>
      </c>
      <c r="F534" s="57">
        <f t="shared" si="13"/>
        <v>1</v>
      </c>
      <c r="G534" s="57">
        <v>25.817699999999999</v>
      </c>
      <c r="H534" s="57">
        <v>27.286300000000001</v>
      </c>
      <c r="I534" s="57">
        <v>26.522600000000001</v>
      </c>
      <c r="J534" s="33">
        <f t="shared" si="14"/>
        <v>1.4686000000000021</v>
      </c>
      <c r="K534" s="33">
        <f t="shared" si="15"/>
        <v>0.70490000000000208</v>
      </c>
    </row>
    <row r="535" spans="1:11" x14ac:dyDescent="0.2">
      <c r="A535" s="70">
        <v>44655</v>
      </c>
      <c r="B535" s="57">
        <v>2030</v>
      </c>
      <c r="C535" s="57" t="s">
        <v>176</v>
      </c>
      <c r="D535" s="57" t="s">
        <v>177</v>
      </c>
      <c r="E535" s="57" t="s">
        <v>178</v>
      </c>
      <c r="F535" s="57">
        <f t="shared" si="13"/>
        <v>0</v>
      </c>
      <c r="G535" s="57">
        <v>25.751000000000001</v>
      </c>
      <c r="H535" s="57">
        <v>29.573599999999999</v>
      </c>
      <c r="I535" s="57">
        <v>27.7392</v>
      </c>
      <c r="J535" s="33">
        <f t="shared" si="14"/>
        <v>3.8225999999999978</v>
      </c>
      <c r="K535" s="33">
        <f t="shared" si="15"/>
        <v>1.9881999999999991</v>
      </c>
    </row>
    <row r="536" spans="1:11" x14ac:dyDescent="0.2">
      <c r="A536" s="70">
        <v>44655</v>
      </c>
      <c r="B536" s="57">
        <v>2025</v>
      </c>
      <c r="C536" s="57" t="s">
        <v>176</v>
      </c>
      <c r="D536" s="57" t="s">
        <v>177</v>
      </c>
      <c r="E536" s="57" t="s">
        <v>178</v>
      </c>
      <c r="F536" s="57">
        <f t="shared" si="13"/>
        <v>0</v>
      </c>
      <c r="G536" s="57">
        <v>25.834099999999999</v>
      </c>
      <c r="H536" s="57">
        <v>30.6206</v>
      </c>
      <c r="I536" s="57">
        <v>28.162700000000001</v>
      </c>
      <c r="J536" s="33">
        <f t="shared" si="14"/>
        <v>4.7865000000000002</v>
      </c>
      <c r="K536" s="33">
        <f t="shared" si="15"/>
        <v>2.3286000000000016</v>
      </c>
    </row>
    <row r="537" spans="1:11" x14ac:dyDescent="0.2">
      <c r="A537" s="70">
        <v>44655</v>
      </c>
      <c r="B537" s="57">
        <v>2005</v>
      </c>
      <c r="C537" s="57" t="s">
        <v>173</v>
      </c>
      <c r="D537" s="57" t="s">
        <v>174</v>
      </c>
      <c r="E537" s="57" t="s">
        <v>175</v>
      </c>
      <c r="F537" s="57">
        <f t="shared" si="13"/>
        <v>1</v>
      </c>
      <c r="G537" s="57">
        <v>26.084900000000001</v>
      </c>
      <c r="H537" s="57">
        <v>26.551100000000002</v>
      </c>
      <c r="I537" s="57">
        <v>26.480499999999999</v>
      </c>
      <c r="J537" s="33">
        <f t="shared" si="14"/>
        <v>0.46620000000000061</v>
      </c>
      <c r="K537" s="33">
        <f t="shared" si="15"/>
        <v>0.39559999999999818</v>
      </c>
    </row>
    <row r="538" spans="1:11" x14ac:dyDescent="0.2">
      <c r="A538" s="70">
        <v>44655</v>
      </c>
      <c r="B538" s="57">
        <v>2027</v>
      </c>
      <c r="C538" s="57" t="s">
        <v>176</v>
      </c>
      <c r="D538" s="57" t="s">
        <v>177</v>
      </c>
      <c r="E538" s="57" t="s">
        <v>178</v>
      </c>
      <c r="F538" s="57">
        <f t="shared" si="13"/>
        <v>0</v>
      </c>
      <c r="G538" s="57">
        <v>25.743400000000001</v>
      </c>
      <c r="H538" s="57">
        <v>31.5626</v>
      </c>
      <c r="I538" s="57">
        <v>28.454000000000001</v>
      </c>
      <c r="J538" s="33">
        <f t="shared" si="14"/>
        <v>5.8191999999999986</v>
      </c>
      <c r="K538" s="33">
        <f t="shared" si="15"/>
        <v>2.7105999999999995</v>
      </c>
    </row>
    <row r="539" spans="1:11" x14ac:dyDescent="0.2">
      <c r="A539" s="70">
        <v>44655</v>
      </c>
      <c r="B539" s="57">
        <v>2028</v>
      </c>
      <c r="C539" s="57" t="s">
        <v>173</v>
      </c>
      <c r="D539" s="57" t="s">
        <v>174</v>
      </c>
      <c r="E539" s="57" t="s">
        <v>175</v>
      </c>
      <c r="F539" s="57">
        <f t="shared" si="13"/>
        <v>1</v>
      </c>
      <c r="G539" s="57">
        <v>25.296700000000001</v>
      </c>
      <c r="H539" s="57">
        <v>26.648099999999999</v>
      </c>
      <c r="I539" s="57">
        <v>25.796199999999999</v>
      </c>
      <c r="J539" s="33">
        <f t="shared" si="14"/>
        <v>1.3513999999999982</v>
      </c>
      <c r="K539" s="33">
        <f t="shared" si="15"/>
        <v>0.49949999999999761</v>
      </c>
    </row>
    <row r="540" spans="1:11" x14ac:dyDescent="0.2">
      <c r="A540" s="70">
        <v>44655</v>
      </c>
      <c r="B540" s="57">
        <v>2022</v>
      </c>
      <c r="C540" s="57" t="s">
        <v>176</v>
      </c>
      <c r="D540" s="57" t="s">
        <v>177</v>
      </c>
      <c r="E540" s="57" t="s">
        <v>178</v>
      </c>
      <c r="F540" s="57">
        <f t="shared" si="13"/>
        <v>0</v>
      </c>
      <c r="G540" s="57">
        <v>26.186299999999999</v>
      </c>
      <c r="H540" s="57">
        <v>29.874300000000002</v>
      </c>
      <c r="I540" s="57">
        <v>28.0259</v>
      </c>
      <c r="J540" s="33">
        <f t="shared" si="14"/>
        <v>3.6880000000000024</v>
      </c>
      <c r="K540" s="33">
        <f t="shared" si="15"/>
        <v>1.8396000000000008</v>
      </c>
    </row>
    <row r="541" spans="1:11" x14ac:dyDescent="0.2">
      <c r="A541" s="70">
        <v>44655</v>
      </c>
      <c r="B541" s="57">
        <v>2093</v>
      </c>
      <c r="C541" s="57" t="s">
        <v>173</v>
      </c>
      <c r="D541" s="57" t="s">
        <v>177</v>
      </c>
      <c r="E541" s="57" t="s">
        <v>175</v>
      </c>
      <c r="F541" s="57">
        <f t="shared" si="13"/>
        <v>0</v>
      </c>
      <c r="G541" s="57">
        <v>14.813800000000001</v>
      </c>
      <c r="H541" s="57">
        <v>15.399699999999999</v>
      </c>
      <c r="I541" s="57">
        <v>14.8704</v>
      </c>
      <c r="J541" s="33">
        <f t="shared" si="14"/>
        <v>0.58589999999999876</v>
      </c>
      <c r="K541" s="33">
        <f t="shared" si="15"/>
        <v>5.659999999999954E-2</v>
      </c>
    </row>
    <row r="542" spans="1:11" x14ac:dyDescent="0.2">
      <c r="A542" s="70">
        <v>44655</v>
      </c>
      <c r="B542" s="57">
        <v>2025</v>
      </c>
      <c r="C542" s="57" t="s">
        <v>173</v>
      </c>
      <c r="D542" s="57" t="s">
        <v>177</v>
      </c>
      <c r="E542" s="57" t="s">
        <v>178</v>
      </c>
      <c r="F542" s="57">
        <f t="shared" si="13"/>
        <v>0</v>
      </c>
      <c r="G542" s="57">
        <v>26.259</v>
      </c>
      <c r="H542" s="57">
        <v>32.723999999999997</v>
      </c>
      <c r="I542" s="57">
        <v>29.1754</v>
      </c>
      <c r="J542" s="33">
        <f t="shared" si="14"/>
        <v>6.4649999999999963</v>
      </c>
      <c r="K542" s="33">
        <f t="shared" si="15"/>
        <v>2.9163999999999994</v>
      </c>
    </row>
    <row r="543" spans="1:11" x14ac:dyDescent="0.2">
      <c r="A543" s="70">
        <v>44655</v>
      </c>
      <c r="B543" s="57">
        <v>2031</v>
      </c>
      <c r="C543" s="57" t="s">
        <v>173</v>
      </c>
      <c r="D543" s="57" t="s">
        <v>174</v>
      </c>
      <c r="E543" s="57" t="s">
        <v>178</v>
      </c>
      <c r="F543" s="57">
        <f t="shared" si="13"/>
        <v>1</v>
      </c>
      <c r="G543" s="57">
        <v>26.0808</v>
      </c>
      <c r="H543" s="57">
        <v>27.132000000000001</v>
      </c>
      <c r="I543" s="57">
        <v>26.608899999999998</v>
      </c>
      <c r="J543" s="33">
        <f t="shared" si="14"/>
        <v>1.0512000000000015</v>
      </c>
      <c r="K543" s="33">
        <f t="shared" si="15"/>
        <v>0.52809999999999846</v>
      </c>
    </row>
    <row r="544" spans="1:11" x14ac:dyDescent="0.2">
      <c r="A544" s="70">
        <v>44655</v>
      </c>
      <c r="B544" s="57">
        <v>2011</v>
      </c>
      <c r="C544" s="57" t="s">
        <v>173</v>
      </c>
      <c r="D544" s="57" t="s">
        <v>174</v>
      </c>
      <c r="E544" s="57" t="s">
        <v>175</v>
      </c>
      <c r="F544" s="57">
        <f t="shared" si="13"/>
        <v>1</v>
      </c>
      <c r="G544" s="57">
        <v>26.308900000000001</v>
      </c>
      <c r="H544" s="57">
        <v>27.6462</v>
      </c>
      <c r="I544" s="57">
        <v>27.018799999999999</v>
      </c>
      <c r="J544" s="33">
        <f t="shared" si="14"/>
        <v>1.337299999999999</v>
      </c>
      <c r="K544" s="33">
        <f t="shared" si="15"/>
        <v>0.70989999999999753</v>
      </c>
    </row>
    <row r="545" spans="1:11" x14ac:dyDescent="0.2">
      <c r="A545" s="70">
        <v>44655</v>
      </c>
      <c r="B545" s="57">
        <v>2020</v>
      </c>
      <c r="C545" s="57" t="s">
        <v>173</v>
      </c>
      <c r="D545" s="57" t="s">
        <v>177</v>
      </c>
      <c r="E545" s="57" t="s">
        <v>178</v>
      </c>
      <c r="F545" s="57">
        <f t="shared" si="13"/>
        <v>0</v>
      </c>
      <c r="G545" s="57">
        <v>15.4223</v>
      </c>
      <c r="H545" s="57">
        <v>22.166599999999999</v>
      </c>
      <c r="I545" s="57">
        <v>18.333400000000001</v>
      </c>
      <c r="J545" s="33">
        <f t="shared" si="14"/>
        <v>6.7442999999999991</v>
      </c>
      <c r="K545" s="33">
        <f t="shared" si="15"/>
        <v>2.9111000000000011</v>
      </c>
    </row>
    <row r="546" spans="1:11" x14ac:dyDescent="0.2">
      <c r="A546" s="70">
        <v>44655</v>
      </c>
      <c r="B546" s="57">
        <v>2015</v>
      </c>
      <c r="C546" s="57" t="s">
        <v>173</v>
      </c>
      <c r="D546" s="57" t="s">
        <v>177</v>
      </c>
      <c r="E546" s="57" t="s">
        <v>178</v>
      </c>
      <c r="F546" s="57">
        <f t="shared" si="13"/>
        <v>0</v>
      </c>
      <c r="G546" s="57">
        <v>26.250900000000001</v>
      </c>
      <c r="H546" s="57">
        <v>34.186599999999999</v>
      </c>
      <c r="I546" s="57">
        <v>29.791499999999999</v>
      </c>
      <c r="J546" s="33">
        <f t="shared" si="14"/>
        <v>7.9356999999999971</v>
      </c>
      <c r="K546" s="33">
        <f t="shared" si="15"/>
        <v>3.5405999999999977</v>
      </c>
    </row>
    <row r="547" spans="1:11" x14ac:dyDescent="0.2">
      <c r="A547" s="70">
        <v>44655</v>
      </c>
      <c r="B547" s="57">
        <v>1478</v>
      </c>
      <c r="C547" s="57" t="s">
        <v>173</v>
      </c>
      <c r="D547" s="57" t="s">
        <v>177</v>
      </c>
      <c r="E547" s="57" t="s">
        <v>175</v>
      </c>
      <c r="F547" s="57">
        <f t="shared" si="13"/>
        <v>0</v>
      </c>
      <c r="G547" s="57">
        <v>26.157</v>
      </c>
      <c r="H547" s="57">
        <v>26.9587</v>
      </c>
      <c r="I547" s="57">
        <v>26.486599999999999</v>
      </c>
      <c r="J547" s="33">
        <f t="shared" si="14"/>
        <v>0.8017000000000003</v>
      </c>
      <c r="K547" s="33">
        <f t="shared" si="15"/>
        <v>0.32959999999999923</v>
      </c>
    </row>
    <row r="548" spans="1:11" x14ac:dyDescent="0.2">
      <c r="A548" s="70">
        <v>44655</v>
      </c>
      <c r="B548" s="57">
        <v>2029</v>
      </c>
      <c r="C548" s="57" t="s">
        <v>176</v>
      </c>
      <c r="D548" s="57" t="s">
        <v>174</v>
      </c>
      <c r="E548" s="57" t="s">
        <v>178</v>
      </c>
      <c r="F548" s="57">
        <f t="shared" si="13"/>
        <v>1</v>
      </c>
      <c r="G548" s="57">
        <v>26.308299999999999</v>
      </c>
      <c r="H548" s="57">
        <v>28.934000000000001</v>
      </c>
      <c r="I548" s="57">
        <v>27.8872</v>
      </c>
      <c r="J548" s="33">
        <f t="shared" si="14"/>
        <v>2.6257000000000019</v>
      </c>
      <c r="K548" s="33">
        <f t="shared" si="15"/>
        <v>1.5789000000000009</v>
      </c>
    </row>
    <row r="549" spans="1:11" x14ac:dyDescent="0.2">
      <c r="A549" s="70">
        <v>44655</v>
      </c>
      <c r="B549" s="57" t="s">
        <v>142</v>
      </c>
      <c r="C549" s="57" t="s">
        <v>173</v>
      </c>
      <c r="D549" s="57" t="s">
        <v>177</v>
      </c>
      <c r="E549" s="57" t="s">
        <v>179</v>
      </c>
      <c r="F549" s="57">
        <f t="shared" si="13"/>
        <v>0</v>
      </c>
      <c r="G549" s="57">
        <v>26.2971</v>
      </c>
      <c r="H549" s="57">
        <v>30.6492</v>
      </c>
      <c r="I549" s="57">
        <v>27.762799999999999</v>
      </c>
      <c r="J549" s="33">
        <f t="shared" si="14"/>
        <v>4.3521000000000001</v>
      </c>
      <c r="K549" s="33">
        <f t="shared" si="15"/>
        <v>1.4656999999999982</v>
      </c>
    </row>
    <row r="550" spans="1:11" x14ac:dyDescent="0.2">
      <c r="A550" s="70">
        <v>44655</v>
      </c>
      <c r="B550" s="57">
        <v>2030</v>
      </c>
      <c r="C550" s="57" t="s">
        <v>176</v>
      </c>
      <c r="D550" s="57" t="s">
        <v>174</v>
      </c>
      <c r="E550" s="57" t="s">
        <v>178</v>
      </c>
      <c r="F550" s="57">
        <f t="shared" si="13"/>
        <v>1</v>
      </c>
      <c r="G550" s="57">
        <v>25.910499999999999</v>
      </c>
      <c r="H550" s="57">
        <v>26.3294</v>
      </c>
      <c r="I550" s="57">
        <v>26.2056</v>
      </c>
      <c r="J550" s="33">
        <f t="shared" si="14"/>
        <v>0.41890000000000072</v>
      </c>
      <c r="K550" s="33">
        <f t="shared" si="15"/>
        <v>0.29510000000000147</v>
      </c>
    </row>
    <row r="551" spans="1:11" x14ac:dyDescent="0.2">
      <c r="A551" s="70">
        <v>44655</v>
      </c>
      <c r="B551" s="57">
        <v>2090</v>
      </c>
      <c r="C551" s="57" t="s">
        <v>173</v>
      </c>
      <c r="D551" s="57" t="s">
        <v>177</v>
      </c>
      <c r="E551" s="57" t="s">
        <v>175</v>
      </c>
      <c r="F551" s="57">
        <f t="shared" si="13"/>
        <v>0</v>
      </c>
      <c r="G551" s="57">
        <v>25.6921</v>
      </c>
      <c r="H551" s="57">
        <v>26.422000000000001</v>
      </c>
      <c r="I551" s="57">
        <v>25.7958</v>
      </c>
      <c r="J551" s="33">
        <f t="shared" si="14"/>
        <v>0.72990000000000066</v>
      </c>
      <c r="K551" s="33">
        <f t="shared" si="15"/>
        <v>0.1036999999999999</v>
      </c>
    </row>
    <row r="552" spans="1:11" x14ac:dyDescent="0.2">
      <c r="A552" s="70">
        <v>44655</v>
      </c>
      <c r="B552" s="57">
        <v>2090</v>
      </c>
      <c r="C552" s="57" t="s">
        <v>173</v>
      </c>
      <c r="D552" s="57" t="s">
        <v>177</v>
      </c>
      <c r="E552" s="57" t="s">
        <v>178</v>
      </c>
      <c r="F552" s="57">
        <f t="shared" si="13"/>
        <v>0</v>
      </c>
      <c r="G552" s="57">
        <v>25.864999999999998</v>
      </c>
      <c r="H552" s="57">
        <v>29.9086</v>
      </c>
      <c r="I552" s="57">
        <v>27.283899999999999</v>
      </c>
      <c r="J552" s="33">
        <f t="shared" si="14"/>
        <v>4.0436000000000014</v>
      </c>
      <c r="K552" s="33">
        <f t="shared" si="15"/>
        <v>1.4189000000000007</v>
      </c>
    </row>
    <row r="553" spans="1:11" x14ac:dyDescent="0.2">
      <c r="A553" s="70">
        <v>44655</v>
      </c>
      <c r="B553" s="57">
        <v>2022</v>
      </c>
      <c r="C553" s="57" t="s">
        <v>176</v>
      </c>
      <c r="D553" s="57" t="s">
        <v>177</v>
      </c>
      <c r="E553" s="57" t="s">
        <v>175</v>
      </c>
      <c r="F553" s="57">
        <f t="shared" si="13"/>
        <v>0</v>
      </c>
      <c r="G553" s="57">
        <v>26.581299999999999</v>
      </c>
      <c r="H553" s="57">
        <v>26.861000000000001</v>
      </c>
      <c r="I553" s="57">
        <v>26.7102</v>
      </c>
      <c r="J553" s="33">
        <f t="shared" si="14"/>
        <v>0.27970000000000184</v>
      </c>
      <c r="K553" s="33">
        <f t="shared" si="15"/>
        <v>0.12890000000000157</v>
      </c>
    </row>
    <row r="554" spans="1:11" x14ac:dyDescent="0.2">
      <c r="A554" s="70">
        <v>44655</v>
      </c>
      <c r="B554" s="57">
        <v>2008</v>
      </c>
      <c r="C554" s="57" t="s">
        <v>173</v>
      </c>
      <c r="D554" s="57" t="s">
        <v>174</v>
      </c>
      <c r="E554" s="57" t="s">
        <v>175</v>
      </c>
      <c r="F554" s="57">
        <f t="shared" si="13"/>
        <v>1</v>
      </c>
      <c r="G554" s="57">
        <v>26.5093</v>
      </c>
      <c r="H554" s="57">
        <v>27.594799999999999</v>
      </c>
      <c r="I554" s="57">
        <v>27.255500000000001</v>
      </c>
      <c r="J554" s="33">
        <f t="shared" si="14"/>
        <v>1.0854999999999997</v>
      </c>
      <c r="K554" s="33">
        <f t="shared" si="15"/>
        <v>0.74620000000000175</v>
      </c>
    </row>
    <row r="555" spans="1:11" x14ac:dyDescent="0.2">
      <c r="A555" s="70">
        <v>44655</v>
      </c>
      <c r="B555" s="57">
        <v>2089</v>
      </c>
      <c r="C555" s="57" t="s">
        <v>173</v>
      </c>
      <c r="D555" s="57" t="s">
        <v>174</v>
      </c>
      <c r="E555" s="57" t="s">
        <v>175</v>
      </c>
      <c r="F555" s="57">
        <f t="shared" si="13"/>
        <v>1</v>
      </c>
      <c r="G555" s="57">
        <v>26.101099999999999</v>
      </c>
      <c r="H555" s="57">
        <v>26.179500000000001</v>
      </c>
      <c r="I555" s="57">
        <v>26.38</v>
      </c>
      <c r="J555" s="33">
        <f t="shared" si="14"/>
        <v>7.8400000000002024E-2</v>
      </c>
      <c r="K555" s="33">
        <f t="shared" si="15"/>
        <v>0.27890000000000015</v>
      </c>
    </row>
    <row r="556" spans="1:11" x14ac:dyDescent="0.2">
      <c r="A556" s="70">
        <v>44655</v>
      </c>
      <c r="B556" s="57">
        <v>2026</v>
      </c>
      <c r="C556" s="57" t="s">
        <v>173</v>
      </c>
      <c r="D556" s="57" t="s">
        <v>177</v>
      </c>
      <c r="E556" s="57" t="s">
        <v>175</v>
      </c>
      <c r="F556" s="57">
        <f t="shared" si="13"/>
        <v>0</v>
      </c>
      <c r="G556" s="57">
        <v>26.4466</v>
      </c>
      <c r="H556" s="57">
        <v>26.774999999999999</v>
      </c>
      <c r="I556" s="57">
        <v>26.605799999999999</v>
      </c>
      <c r="J556" s="33">
        <f t="shared" si="14"/>
        <v>0.32839999999999847</v>
      </c>
      <c r="K556" s="33">
        <f t="shared" si="15"/>
        <v>0.15919999999999845</v>
      </c>
    </row>
    <row r="557" spans="1:11" x14ac:dyDescent="0.2">
      <c r="A557" s="70">
        <v>44655</v>
      </c>
      <c r="B557" s="57">
        <v>2013</v>
      </c>
      <c r="C557" s="57" t="s">
        <v>176</v>
      </c>
      <c r="D557" s="57" t="s">
        <v>174</v>
      </c>
      <c r="E557" s="57" t="s">
        <v>175</v>
      </c>
      <c r="F557" s="57">
        <f t="shared" si="13"/>
        <v>1</v>
      </c>
      <c r="G557" s="57">
        <v>25.883500000000002</v>
      </c>
      <c r="H557" s="57">
        <v>26.752199999999998</v>
      </c>
      <c r="I557" s="57">
        <v>26.2867</v>
      </c>
      <c r="J557" s="33">
        <f t="shared" si="14"/>
        <v>0.86869999999999692</v>
      </c>
      <c r="K557" s="33">
        <f t="shared" si="15"/>
        <v>0.40319999999999823</v>
      </c>
    </row>
    <row r="558" spans="1:11" x14ac:dyDescent="0.2">
      <c r="A558" s="70">
        <v>44655</v>
      </c>
      <c r="B558" s="57">
        <v>2007</v>
      </c>
      <c r="C558" s="57" t="s">
        <v>173</v>
      </c>
      <c r="D558" s="57" t="s">
        <v>174</v>
      </c>
      <c r="E558" s="57" t="s">
        <v>175</v>
      </c>
      <c r="F558" s="57">
        <f t="shared" si="13"/>
        <v>1</v>
      </c>
      <c r="G558" s="57">
        <v>25.779299999999999</v>
      </c>
      <c r="H558" s="57">
        <v>26.3918</v>
      </c>
      <c r="I558" s="57">
        <v>26.062000000000001</v>
      </c>
      <c r="J558" s="33">
        <f t="shared" si="14"/>
        <v>0.61250000000000071</v>
      </c>
      <c r="K558" s="33">
        <f t="shared" si="15"/>
        <v>0.28270000000000195</v>
      </c>
    </row>
    <row r="559" spans="1:11" x14ac:dyDescent="0.2">
      <c r="A559" s="70">
        <v>44655</v>
      </c>
      <c r="B559" s="57">
        <v>2030</v>
      </c>
      <c r="C559" s="57" t="s">
        <v>176</v>
      </c>
      <c r="D559" s="57" t="s">
        <v>174</v>
      </c>
      <c r="E559" s="57" t="s">
        <v>175</v>
      </c>
      <c r="F559" s="57">
        <f t="shared" si="13"/>
        <v>1</v>
      </c>
      <c r="G559" s="57">
        <v>15.5665</v>
      </c>
      <c r="H559" s="57">
        <v>15.7277</v>
      </c>
      <c r="I559" s="57">
        <v>15.882999999999999</v>
      </c>
      <c r="J559" s="33">
        <f t="shared" si="14"/>
        <v>0.1612000000000009</v>
      </c>
      <c r="K559" s="33">
        <f t="shared" si="15"/>
        <v>0.31649999999999956</v>
      </c>
    </row>
    <row r="560" spans="1:11" x14ac:dyDescent="0.2">
      <c r="A560" s="70">
        <v>44655</v>
      </c>
      <c r="B560" s="57" t="s">
        <v>142</v>
      </c>
      <c r="C560" s="57" t="s">
        <v>173</v>
      </c>
      <c r="D560" s="57" t="s">
        <v>177</v>
      </c>
      <c r="E560" s="57" t="s">
        <v>179</v>
      </c>
      <c r="F560" s="57">
        <f t="shared" si="13"/>
        <v>0</v>
      </c>
      <c r="G560" s="57">
        <v>25.820699999999999</v>
      </c>
      <c r="H560" s="57">
        <v>31.4223</v>
      </c>
      <c r="I560" s="57">
        <v>27.5656</v>
      </c>
      <c r="J560" s="33">
        <f t="shared" si="14"/>
        <v>5.6016000000000012</v>
      </c>
      <c r="K560" s="33">
        <f t="shared" si="15"/>
        <v>1.7449000000000012</v>
      </c>
    </row>
    <row r="561" spans="1:11" x14ac:dyDescent="0.2">
      <c r="A561" s="70">
        <v>44655</v>
      </c>
      <c r="B561" s="57">
        <v>2030</v>
      </c>
      <c r="C561" s="57" t="s">
        <v>176</v>
      </c>
      <c r="D561" s="57" t="s">
        <v>177</v>
      </c>
      <c r="E561" s="57" t="s">
        <v>175</v>
      </c>
      <c r="F561" s="57">
        <f t="shared" si="13"/>
        <v>0</v>
      </c>
      <c r="G561" s="57">
        <v>15.6556</v>
      </c>
      <c r="H561" s="57">
        <v>15.6256</v>
      </c>
      <c r="I561" s="57">
        <v>15.830299999999999</v>
      </c>
      <c r="J561" s="33">
        <f t="shared" si="14"/>
        <v>-2.9999999999999361E-2</v>
      </c>
      <c r="K561" s="33">
        <f t="shared" si="15"/>
        <v>0.17469999999999963</v>
      </c>
    </row>
    <row r="562" spans="1:11" x14ac:dyDescent="0.2">
      <c r="A562" s="70">
        <v>44655</v>
      </c>
      <c r="B562" s="57">
        <v>2022</v>
      </c>
      <c r="C562" s="57" t="s">
        <v>176</v>
      </c>
      <c r="D562" s="57" t="s">
        <v>174</v>
      </c>
      <c r="E562" s="57" t="s">
        <v>178</v>
      </c>
      <c r="F562" s="57">
        <f t="shared" si="13"/>
        <v>1</v>
      </c>
      <c r="G562" s="57">
        <v>26.296900000000001</v>
      </c>
      <c r="H562" s="57">
        <v>29.596800000000002</v>
      </c>
      <c r="I562" s="57">
        <v>28.214400000000001</v>
      </c>
      <c r="J562" s="33">
        <f t="shared" si="14"/>
        <v>3.2999000000000009</v>
      </c>
      <c r="K562" s="33">
        <f t="shared" si="15"/>
        <v>1.9175000000000004</v>
      </c>
    </row>
    <row r="563" spans="1:11" x14ac:dyDescent="0.2">
      <c r="A563" s="70">
        <v>44655</v>
      </c>
      <c r="B563" s="57">
        <v>2014</v>
      </c>
      <c r="C563" s="57" t="s">
        <v>173</v>
      </c>
      <c r="D563" s="57" t="s">
        <v>174</v>
      </c>
      <c r="E563" s="57" t="s">
        <v>175</v>
      </c>
      <c r="F563" s="57">
        <f t="shared" si="13"/>
        <v>1</v>
      </c>
      <c r="G563" s="57">
        <v>25.484400000000001</v>
      </c>
      <c r="H563" s="57">
        <v>26.799499999999998</v>
      </c>
      <c r="I563" s="57">
        <v>25.883299999999998</v>
      </c>
      <c r="J563" s="33">
        <f t="shared" si="14"/>
        <v>1.3150999999999975</v>
      </c>
      <c r="K563" s="33">
        <f t="shared" si="15"/>
        <v>0.39889999999999759</v>
      </c>
    </row>
    <row r="564" spans="1:11" x14ac:dyDescent="0.2">
      <c r="A564" s="70">
        <v>44655</v>
      </c>
      <c r="B564" s="57">
        <v>2301</v>
      </c>
      <c r="C564" s="57" t="s">
        <v>173</v>
      </c>
      <c r="D564" s="57" t="s">
        <v>174</v>
      </c>
      <c r="E564" s="57" t="s">
        <v>178</v>
      </c>
      <c r="F564" s="57">
        <f t="shared" si="13"/>
        <v>1</v>
      </c>
      <c r="G564" s="57">
        <v>0</v>
      </c>
      <c r="H564" s="57">
        <v>6.8129</v>
      </c>
      <c r="I564" s="57">
        <v>4.2309999999999999</v>
      </c>
      <c r="J564" s="33">
        <f t="shared" si="14"/>
        <v>6.8129</v>
      </c>
      <c r="K564" s="33">
        <f t="shared" si="15"/>
        <v>4.2309999999999999</v>
      </c>
    </row>
    <row r="565" spans="1:11" x14ac:dyDescent="0.2">
      <c r="A565" s="70">
        <v>44655</v>
      </c>
      <c r="B565" s="57">
        <v>2377</v>
      </c>
      <c r="C565" s="57" t="s">
        <v>173</v>
      </c>
      <c r="D565" s="57" t="s">
        <v>177</v>
      </c>
      <c r="E565" s="57" t="s">
        <v>178</v>
      </c>
      <c r="F565" s="57">
        <f t="shared" si="13"/>
        <v>0</v>
      </c>
      <c r="G565" s="57">
        <v>0</v>
      </c>
      <c r="H565" s="57">
        <v>0.9708</v>
      </c>
      <c r="I565" s="57">
        <v>0.50800000000000001</v>
      </c>
      <c r="J565" s="33">
        <f t="shared" si="14"/>
        <v>0.9708</v>
      </c>
      <c r="K565" s="33">
        <f t="shared" si="15"/>
        <v>0.50800000000000001</v>
      </c>
    </row>
    <row r="566" spans="1:11" x14ac:dyDescent="0.2">
      <c r="A566" s="70">
        <v>44655</v>
      </c>
      <c r="B566" s="57">
        <v>2343</v>
      </c>
      <c r="C566" s="57" t="s">
        <v>173</v>
      </c>
      <c r="D566" s="57" t="s">
        <v>177</v>
      </c>
      <c r="E566" s="57" t="s">
        <v>178</v>
      </c>
      <c r="F566" s="57">
        <f t="shared" si="13"/>
        <v>0</v>
      </c>
      <c r="G566" s="57">
        <v>0</v>
      </c>
      <c r="H566" s="57">
        <v>7.8771000000000004</v>
      </c>
      <c r="I566" s="57">
        <v>3.7330000000000001</v>
      </c>
      <c r="J566" s="33">
        <f t="shared" si="14"/>
        <v>7.8771000000000004</v>
      </c>
      <c r="K566" s="33">
        <f t="shared" si="15"/>
        <v>3.7330000000000001</v>
      </c>
    </row>
    <row r="567" spans="1:11" x14ac:dyDescent="0.2">
      <c r="A567" s="70">
        <v>44655</v>
      </c>
      <c r="B567" s="57">
        <v>2384</v>
      </c>
      <c r="C567" s="57" t="s">
        <v>173</v>
      </c>
      <c r="D567" s="57" t="s">
        <v>177</v>
      </c>
      <c r="E567" s="57" t="s">
        <v>178</v>
      </c>
      <c r="F567" s="57">
        <f t="shared" si="13"/>
        <v>0</v>
      </c>
      <c r="G567" s="57">
        <v>0</v>
      </c>
      <c r="H567" s="57">
        <v>2.3248000000000002</v>
      </c>
      <c r="I567" s="57">
        <v>1.252</v>
      </c>
      <c r="J567" s="33">
        <f t="shared" si="14"/>
        <v>2.3248000000000002</v>
      </c>
      <c r="K567" s="33">
        <f t="shared" si="15"/>
        <v>1.252</v>
      </c>
    </row>
    <row r="568" spans="1:11" x14ac:dyDescent="0.2">
      <c r="A568" s="70">
        <v>44655</v>
      </c>
      <c r="B568" s="57">
        <v>2009</v>
      </c>
      <c r="C568" s="57" t="s">
        <v>173</v>
      </c>
      <c r="D568" s="57" t="s">
        <v>177</v>
      </c>
      <c r="E568" s="57" t="s">
        <v>178</v>
      </c>
      <c r="F568" s="57">
        <f t="shared" si="13"/>
        <v>0</v>
      </c>
      <c r="G568" s="57">
        <v>0</v>
      </c>
      <c r="H568" s="57">
        <v>5.8315000000000001</v>
      </c>
      <c r="I568" s="57">
        <v>2.8460000000000001</v>
      </c>
      <c r="J568" s="33">
        <f t="shared" si="14"/>
        <v>5.8315000000000001</v>
      </c>
      <c r="K568" s="33">
        <f t="shared" si="15"/>
        <v>2.8460000000000001</v>
      </c>
    </row>
    <row r="569" spans="1:11" x14ac:dyDescent="0.2">
      <c r="A569" s="70">
        <v>44655</v>
      </c>
      <c r="B569" s="57">
        <v>2331</v>
      </c>
      <c r="C569" s="57" t="s">
        <v>173</v>
      </c>
      <c r="D569" s="57" t="s">
        <v>174</v>
      </c>
      <c r="E569" s="57" t="s">
        <v>178</v>
      </c>
      <c r="F569" s="57">
        <f t="shared" si="13"/>
        <v>1</v>
      </c>
      <c r="G569" s="57">
        <v>0</v>
      </c>
      <c r="H569" s="57">
        <v>5.9126000000000003</v>
      </c>
      <c r="I569" s="57">
        <v>3.726</v>
      </c>
      <c r="J569" s="33">
        <f t="shared" si="14"/>
        <v>5.9126000000000003</v>
      </c>
      <c r="K569" s="33">
        <f t="shared" si="15"/>
        <v>3.726</v>
      </c>
    </row>
    <row r="570" spans="1:11" x14ac:dyDescent="0.2">
      <c r="A570" s="70">
        <v>44655</v>
      </c>
      <c r="B570" s="57">
        <v>2354</v>
      </c>
      <c r="C570" s="57" t="s">
        <v>173</v>
      </c>
      <c r="D570" s="57" t="s">
        <v>177</v>
      </c>
      <c r="E570" s="57" t="s">
        <v>178</v>
      </c>
      <c r="F570" s="57">
        <f t="shared" si="13"/>
        <v>0</v>
      </c>
      <c r="G570" s="57">
        <v>0</v>
      </c>
      <c r="H570" s="57">
        <v>3.4094000000000002</v>
      </c>
      <c r="I570" s="57">
        <v>1.696</v>
      </c>
      <c r="J570" s="33">
        <f t="shared" si="14"/>
        <v>3.4094000000000002</v>
      </c>
      <c r="K570" s="33">
        <f t="shared" si="15"/>
        <v>1.696</v>
      </c>
    </row>
    <row r="571" spans="1:11" x14ac:dyDescent="0.2">
      <c r="A571" s="70">
        <v>44655</v>
      </c>
      <c r="B571" s="57">
        <v>2354</v>
      </c>
      <c r="C571" s="57" t="s">
        <v>173</v>
      </c>
      <c r="D571" s="57" t="s">
        <v>174</v>
      </c>
      <c r="E571" s="57" t="s">
        <v>178</v>
      </c>
      <c r="F571" s="57">
        <f t="shared" si="13"/>
        <v>1</v>
      </c>
      <c r="G571" s="57">
        <v>0</v>
      </c>
      <c r="H571" s="57">
        <v>3.8778999999999999</v>
      </c>
      <c r="I571" s="57">
        <v>2.3460000000000001</v>
      </c>
      <c r="J571" s="33">
        <f t="shared" si="14"/>
        <v>3.8778999999999999</v>
      </c>
      <c r="K571" s="33">
        <f t="shared" si="15"/>
        <v>2.3460000000000001</v>
      </c>
    </row>
    <row r="572" spans="1:11" x14ac:dyDescent="0.2">
      <c r="A572" s="70">
        <v>44655</v>
      </c>
      <c r="B572" s="57">
        <v>2372</v>
      </c>
      <c r="C572" s="57" t="s">
        <v>173</v>
      </c>
      <c r="D572" s="57" t="s">
        <v>177</v>
      </c>
      <c r="E572" s="57" t="s">
        <v>178</v>
      </c>
      <c r="F572" s="57">
        <f t="shared" si="13"/>
        <v>0</v>
      </c>
      <c r="G572" s="57">
        <v>0</v>
      </c>
      <c r="H572" s="57">
        <v>3.5644999999999998</v>
      </c>
      <c r="I572" s="57">
        <v>1.649</v>
      </c>
      <c r="J572" s="33">
        <f t="shared" si="14"/>
        <v>3.5644999999999998</v>
      </c>
      <c r="K572" s="33">
        <f t="shared" si="15"/>
        <v>1.649</v>
      </c>
    </row>
    <row r="573" spans="1:11" x14ac:dyDescent="0.2">
      <c r="A573" s="70">
        <v>44655</v>
      </c>
      <c r="B573" s="57">
        <v>2369</v>
      </c>
      <c r="C573" s="57" t="s">
        <v>173</v>
      </c>
      <c r="D573" s="57" t="s">
        <v>177</v>
      </c>
      <c r="E573" s="57" t="s">
        <v>178</v>
      </c>
      <c r="F573" s="57">
        <f t="shared" si="13"/>
        <v>0</v>
      </c>
      <c r="G573" s="57">
        <v>0</v>
      </c>
      <c r="H573" s="57">
        <v>2.7164000000000001</v>
      </c>
      <c r="I573" s="57">
        <v>1.375</v>
      </c>
      <c r="J573" s="33">
        <f t="shared" si="14"/>
        <v>2.7164000000000001</v>
      </c>
      <c r="K573" s="33">
        <f t="shared" si="15"/>
        <v>1.375</v>
      </c>
    </row>
    <row r="574" spans="1:11" x14ac:dyDescent="0.2">
      <c r="A574" s="70">
        <v>44655</v>
      </c>
      <c r="B574" s="57">
        <v>2367</v>
      </c>
      <c r="C574" s="57" t="s">
        <v>173</v>
      </c>
      <c r="D574" s="57" t="s">
        <v>177</v>
      </c>
      <c r="E574" s="57" t="s">
        <v>178</v>
      </c>
      <c r="F574" s="57">
        <f t="shared" si="13"/>
        <v>0</v>
      </c>
      <c r="G574" s="57">
        <v>0</v>
      </c>
      <c r="H574" s="57">
        <v>2.7037</v>
      </c>
      <c r="I574" s="57">
        <v>1.385</v>
      </c>
      <c r="J574" s="33">
        <f t="shared" si="14"/>
        <v>2.7037</v>
      </c>
      <c r="K574" s="33">
        <f t="shared" si="15"/>
        <v>1.385</v>
      </c>
    </row>
    <row r="575" spans="1:11" x14ac:dyDescent="0.2">
      <c r="A575" s="70">
        <v>44655</v>
      </c>
      <c r="B575" s="57">
        <v>2378</v>
      </c>
      <c r="C575" s="57" t="s">
        <v>173</v>
      </c>
      <c r="D575" s="57" t="s">
        <v>177</v>
      </c>
      <c r="E575" s="57" t="s">
        <v>178</v>
      </c>
      <c r="F575" s="57">
        <f t="shared" si="13"/>
        <v>0</v>
      </c>
      <c r="G575" s="57">
        <v>0</v>
      </c>
      <c r="H575" s="57">
        <v>4.9917999999999996</v>
      </c>
      <c r="I575" s="57">
        <v>2.6</v>
      </c>
      <c r="J575" s="33">
        <f t="shared" si="14"/>
        <v>4.9917999999999996</v>
      </c>
      <c r="K575" s="33">
        <f t="shared" si="15"/>
        <v>2.6</v>
      </c>
    </row>
    <row r="576" spans="1:11" x14ac:dyDescent="0.2">
      <c r="A576" s="70">
        <v>44655</v>
      </c>
      <c r="B576" s="57">
        <v>2383</v>
      </c>
      <c r="C576" s="57" t="s">
        <v>173</v>
      </c>
      <c r="D576" s="57" t="s">
        <v>177</v>
      </c>
      <c r="E576" s="57" t="s">
        <v>178</v>
      </c>
      <c r="F576" s="57">
        <f t="shared" si="13"/>
        <v>0</v>
      </c>
      <c r="G576" s="57">
        <v>0</v>
      </c>
      <c r="H576" s="57">
        <v>5.9706999999999999</v>
      </c>
      <c r="I576" s="57">
        <v>3.2080000000000002</v>
      </c>
      <c r="J576" s="33">
        <f t="shared" si="14"/>
        <v>5.9706999999999999</v>
      </c>
      <c r="K576" s="33">
        <f t="shared" si="15"/>
        <v>3.2080000000000002</v>
      </c>
    </row>
    <row r="577" spans="1:11" x14ac:dyDescent="0.2">
      <c r="A577" s="70">
        <v>44655</v>
      </c>
      <c r="B577" s="57">
        <v>2370</v>
      </c>
      <c r="C577" s="57" t="s">
        <v>173</v>
      </c>
      <c r="D577" s="57" t="s">
        <v>177</v>
      </c>
      <c r="E577" s="57" t="s">
        <v>178</v>
      </c>
      <c r="F577" s="57">
        <f t="shared" si="13"/>
        <v>0</v>
      </c>
      <c r="G577" s="57">
        <v>0</v>
      </c>
      <c r="H577" s="57">
        <v>3.2042999999999999</v>
      </c>
      <c r="I577" s="57">
        <v>1.4379999999999999</v>
      </c>
      <c r="J577" s="33">
        <f t="shared" si="14"/>
        <v>3.2042999999999999</v>
      </c>
      <c r="K577" s="33">
        <f t="shared" si="15"/>
        <v>1.4379999999999999</v>
      </c>
    </row>
    <row r="578" spans="1:11" x14ac:dyDescent="0.2">
      <c r="A578" s="70">
        <v>44655</v>
      </c>
      <c r="B578" s="57">
        <v>2347</v>
      </c>
      <c r="C578" s="57" t="s">
        <v>173</v>
      </c>
      <c r="D578" s="57" t="s">
        <v>177</v>
      </c>
      <c r="E578" s="57" t="s">
        <v>178</v>
      </c>
      <c r="F578" s="57">
        <f t="shared" si="13"/>
        <v>0</v>
      </c>
      <c r="G578" s="57">
        <v>0</v>
      </c>
      <c r="H578" s="57">
        <v>5.2774999999999999</v>
      </c>
      <c r="I578" s="57">
        <v>2.4689999999999999</v>
      </c>
      <c r="J578" s="33">
        <f t="shared" si="14"/>
        <v>5.2774999999999999</v>
      </c>
      <c r="K578" s="33">
        <f t="shared" si="15"/>
        <v>2.4689999999999999</v>
      </c>
    </row>
    <row r="579" spans="1:11" x14ac:dyDescent="0.2">
      <c r="A579" s="70">
        <v>44655</v>
      </c>
      <c r="B579" s="57">
        <v>2352</v>
      </c>
      <c r="C579" s="57" t="s">
        <v>173</v>
      </c>
      <c r="D579" s="57" t="s">
        <v>177</v>
      </c>
      <c r="E579" s="57" t="s">
        <v>178</v>
      </c>
      <c r="F579" s="57">
        <f t="shared" si="13"/>
        <v>0</v>
      </c>
      <c r="G579" s="57">
        <v>0</v>
      </c>
      <c r="H579" s="57">
        <v>0.76790000000000003</v>
      </c>
      <c r="I579" s="57">
        <v>0.42799999999999999</v>
      </c>
      <c r="J579" s="33">
        <f t="shared" si="14"/>
        <v>0.76790000000000003</v>
      </c>
      <c r="K579" s="33">
        <f t="shared" si="15"/>
        <v>0.42799999999999999</v>
      </c>
    </row>
    <row r="580" spans="1:11" x14ac:dyDescent="0.2">
      <c r="A580" s="70">
        <v>44655</v>
      </c>
      <c r="B580" s="57">
        <v>2360</v>
      </c>
      <c r="C580" s="57" t="s">
        <v>173</v>
      </c>
      <c r="D580" s="57" t="s">
        <v>177</v>
      </c>
      <c r="E580" s="57" t="s">
        <v>178</v>
      </c>
      <c r="F580" s="57">
        <f t="shared" si="13"/>
        <v>0</v>
      </c>
      <c r="G580" s="57">
        <v>0</v>
      </c>
      <c r="H580" s="57">
        <v>6.6460999999999997</v>
      </c>
      <c r="I580" s="57">
        <v>3.5739999999999998</v>
      </c>
      <c r="J580" s="33">
        <f t="shared" si="14"/>
        <v>6.6460999999999997</v>
      </c>
      <c r="K580" s="33">
        <f t="shared" si="15"/>
        <v>3.5739999999999998</v>
      </c>
    </row>
    <row r="581" spans="1:11" x14ac:dyDescent="0.2">
      <c r="A581" s="70">
        <v>44655</v>
      </c>
      <c r="B581" s="57">
        <v>2371</v>
      </c>
      <c r="C581" s="57" t="s">
        <v>173</v>
      </c>
      <c r="D581" s="57" t="s">
        <v>177</v>
      </c>
      <c r="E581" s="57" t="s">
        <v>178</v>
      </c>
      <c r="F581" s="57">
        <f t="shared" si="13"/>
        <v>0</v>
      </c>
      <c r="G581" s="57">
        <v>0</v>
      </c>
      <c r="H581" s="57">
        <v>5.3933999999999997</v>
      </c>
      <c r="I581" s="57">
        <v>2.1179999999999999</v>
      </c>
      <c r="J581" s="33">
        <f t="shared" si="14"/>
        <v>5.3933999999999997</v>
      </c>
      <c r="K581" s="33">
        <f t="shared" si="15"/>
        <v>2.1179999999999999</v>
      </c>
    </row>
    <row r="582" spans="1:11" x14ac:dyDescent="0.2">
      <c r="A582" s="70">
        <v>44655</v>
      </c>
      <c r="B582" s="57">
        <v>2352</v>
      </c>
      <c r="C582" s="57" t="s">
        <v>173</v>
      </c>
      <c r="D582" s="57" t="s">
        <v>174</v>
      </c>
      <c r="E582" s="57" t="s">
        <v>178</v>
      </c>
      <c r="F582" s="57">
        <f t="shared" si="13"/>
        <v>1</v>
      </c>
      <c r="G582" s="57">
        <v>0</v>
      </c>
      <c r="H582" s="57">
        <v>3.1857000000000002</v>
      </c>
      <c r="I582" s="57">
        <v>2.137</v>
      </c>
      <c r="J582" s="33">
        <f t="shared" si="14"/>
        <v>3.1857000000000002</v>
      </c>
      <c r="K582" s="33">
        <f t="shared" si="15"/>
        <v>2.137</v>
      </c>
    </row>
    <row r="583" spans="1:11" x14ac:dyDescent="0.2">
      <c r="A583" s="70">
        <v>44655</v>
      </c>
      <c r="B583" s="57">
        <v>2377</v>
      </c>
      <c r="C583" s="57" t="s">
        <v>173</v>
      </c>
      <c r="D583" s="57" t="s">
        <v>174</v>
      </c>
      <c r="E583" s="57" t="s">
        <v>178</v>
      </c>
      <c r="F583" s="57">
        <f t="shared" si="13"/>
        <v>1</v>
      </c>
      <c r="G583" s="57">
        <v>0</v>
      </c>
      <c r="H583" s="57">
        <v>5.6534000000000004</v>
      </c>
      <c r="I583" s="57">
        <v>3.4780000000000002</v>
      </c>
      <c r="J583" s="33">
        <f t="shared" si="14"/>
        <v>5.6534000000000004</v>
      </c>
      <c r="K583" s="33">
        <f t="shared" si="15"/>
        <v>3.4780000000000002</v>
      </c>
    </row>
    <row r="584" spans="1:11" x14ac:dyDescent="0.2">
      <c r="A584" s="70">
        <v>44655</v>
      </c>
      <c r="B584" s="57">
        <v>2365</v>
      </c>
      <c r="C584" s="57" t="s">
        <v>173</v>
      </c>
      <c r="D584" s="57" t="s">
        <v>177</v>
      </c>
      <c r="E584" s="57" t="s">
        <v>178</v>
      </c>
      <c r="F584" s="57">
        <f t="shared" si="13"/>
        <v>0</v>
      </c>
      <c r="G584" s="57">
        <v>0</v>
      </c>
      <c r="H584" s="57">
        <v>3.4956999999999998</v>
      </c>
      <c r="I584" s="57">
        <v>1.7549999999999999</v>
      </c>
      <c r="J584" s="33">
        <f t="shared" si="14"/>
        <v>3.4956999999999998</v>
      </c>
      <c r="K584" s="33">
        <f t="shared" si="15"/>
        <v>1.7549999999999999</v>
      </c>
    </row>
    <row r="585" spans="1:11" x14ac:dyDescent="0.2">
      <c r="A585" s="70">
        <v>44678</v>
      </c>
      <c r="B585" s="57">
        <v>2029</v>
      </c>
      <c r="C585" s="57" t="s">
        <v>173</v>
      </c>
      <c r="D585" s="57" t="s">
        <v>177</v>
      </c>
      <c r="E585" s="57" t="s">
        <v>178</v>
      </c>
      <c r="F585" s="57">
        <f t="shared" si="13"/>
        <v>0</v>
      </c>
      <c r="G585" s="57">
        <v>0</v>
      </c>
      <c r="H585" s="57">
        <v>8.1910000000000007</v>
      </c>
      <c r="I585" s="57">
        <v>4.6059999999999999</v>
      </c>
      <c r="J585" s="33">
        <f t="shared" si="14"/>
        <v>8.1910000000000007</v>
      </c>
      <c r="K585" s="33">
        <f t="shared" si="15"/>
        <v>4.6059999999999999</v>
      </c>
    </row>
    <row r="586" spans="1:11" x14ac:dyDescent="0.2">
      <c r="A586" s="70">
        <v>44678</v>
      </c>
      <c r="B586" s="57">
        <v>2032</v>
      </c>
      <c r="C586" s="57" t="s">
        <v>173</v>
      </c>
      <c r="D586" s="57" t="s">
        <v>177</v>
      </c>
      <c r="E586" s="57" t="s">
        <v>178</v>
      </c>
      <c r="F586" s="57">
        <f t="shared" si="13"/>
        <v>0</v>
      </c>
      <c r="G586" s="57">
        <v>0</v>
      </c>
      <c r="H586" s="57">
        <v>3.2130000000000001</v>
      </c>
      <c r="I586" s="57">
        <v>1.76</v>
      </c>
      <c r="J586" s="33">
        <f t="shared" si="14"/>
        <v>3.2130000000000001</v>
      </c>
      <c r="K586" s="33">
        <f t="shared" si="15"/>
        <v>1.76</v>
      </c>
    </row>
    <row r="587" spans="1:11" x14ac:dyDescent="0.2">
      <c r="A587" s="70">
        <v>44678</v>
      </c>
      <c r="B587" s="57">
        <v>2092</v>
      </c>
      <c r="C587" s="57" t="s">
        <v>173</v>
      </c>
      <c r="D587" s="57" t="s">
        <v>177</v>
      </c>
      <c r="E587" s="57" t="s">
        <v>175</v>
      </c>
      <c r="F587" s="57">
        <f t="shared" si="13"/>
        <v>0</v>
      </c>
      <c r="G587" s="57">
        <v>0</v>
      </c>
      <c r="H587" s="57">
        <v>0.10199999999999999</v>
      </c>
      <c r="I587" s="57">
        <v>4.7199999999999999E-2</v>
      </c>
      <c r="J587" s="33">
        <f t="shared" si="14"/>
        <v>0.10199999999999999</v>
      </c>
      <c r="K587" s="33">
        <f t="shared" si="15"/>
        <v>4.7199999999999999E-2</v>
      </c>
    </row>
    <row r="588" spans="1:11" x14ac:dyDescent="0.2">
      <c r="A588" s="70">
        <v>44678</v>
      </c>
      <c r="B588" s="57">
        <v>1472</v>
      </c>
      <c r="C588" s="57" t="s">
        <v>173</v>
      </c>
      <c r="D588" s="57" t="s">
        <v>177</v>
      </c>
      <c r="E588" s="57" t="s">
        <v>175</v>
      </c>
      <c r="F588" s="57">
        <f t="shared" si="13"/>
        <v>0</v>
      </c>
      <c r="G588" s="57">
        <v>0</v>
      </c>
      <c r="H588" s="57">
        <v>0.56699999999999995</v>
      </c>
      <c r="I588" s="57">
        <v>0.25700000000000001</v>
      </c>
      <c r="J588" s="33">
        <f t="shared" si="14"/>
        <v>0.56699999999999995</v>
      </c>
      <c r="K588" s="33">
        <f t="shared" si="15"/>
        <v>0.25700000000000001</v>
      </c>
    </row>
    <row r="589" spans="1:11" x14ac:dyDescent="0.2">
      <c r="A589" s="70">
        <v>44678</v>
      </c>
      <c r="B589" s="57">
        <v>2032</v>
      </c>
      <c r="C589" s="57" t="s">
        <v>173</v>
      </c>
      <c r="D589" s="57" t="s">
        <v>177</v>
      </c>
      <c r="E589" s="57" t="s">
        <v>175</v>
      </c>
      <c r="F589" s="57">
        <f t="shared" si="13"/>
        <v>0</v>
      </c>
      <c r="G589" s="57">
        <v>0</v>
      </c>
      <c r="H589" s="57">
        <v>0.33100000000000002</v>
      </c>
      <c r="I589" s="57">
        <v>0.18099999999999999</v>
      </c>
      <c r="J589" s="33">
        <f t="shared" si="14"/>
        <v>0.33100000000000002</v>
      </c>
      <c r="K589" s="33">
        <f t="shared" si="15"/>
        <v>0.18099999999999999</v>
      </c>
    </row>
    <row r="590" spans="1:11" x14ac:dyDescent="0.2">
      <c r="A590" s="70">
        <v>44678</v>
      </c>
      <c r="B590" s="57">
        <v>2088</v>
      </c>
      <c r="C590" s="57" t="s">
        <v>173</v>
      </c>
      <c r="D590" s="57" t="s">
        <v>177</v>
      </c>
      <c r="E590" s="57" t="s">
        <v>178</v>
      </c>
      <c r="F590" s="57">
        <f t="shared" si="13"/>
        <v>0</v>
      </c>
      <c r="G590" s="57">
        <v>0</v>
      </c>
      <c r="H590" s="57">
        <v>2.5499999999999998</v>
      </c>
      <c r="I590" s="57">
        <v>1.284</v>
      </c>
      <c r="J590" s="33">
        <f t="shared" si="14"/>
        <v>2.5499999999999998</v>
      </c>
      <c r="K590" s="33">
        <f t="shared" si="15"/>
        <v>1.284</v>
      </c>
    </row>
    <row r="591" spans="1:11" x14ac:dyDescent="0.2">
      <c r="A591" s="70">
        <v>44678</v>
      </c>
      <c r="B591" s="57">
        <v>2092</v>
      </c>
      <c r="C591" s="57" t="s">
        <v>173</v>
      </c>
      <c r="D591" s="57" t="s">
        <v>177</v>
      </c>
      <c r="E591" s="57" t="s">
        <v>178</v>
      </c>
      <c r="F591" s="57">
        <f t="shared" si="13"/>
        <v>0</v>
      </c>
      <c r="G591" s="57">
        <v>0</v>
      </c>
      <c r="H591" s="57">
        <v>2.1179999999999999</v>
      </c>
      <c r="I591" s="57">
        <v>0.98299999999999998</v>
      </c>
      <c r="J591" s="33">
        <f t="shared" si="14"/>
        <v>2.1179999999999999</v>
      </c>
      <c r="K591" s="33">
        <f t="shared" si="15"/>
        <v>0.98299999999999998</v>
      </c>
    </row>
    <row r="592" spans="1:11" x14ac:dyDescent="0.2">
      <c r="A592" s="70">
        <v>44678</v>
      </c>
      <c r="B592" s="57">
        <v>2015</v>
      </c>
      <c r="C592" s="57" t="s">
        <v>173</v>
      </c>
      <c r="D592" s="57" t="s">
        <v>177</v>
      </c>
      <c r="E592" s="57" t="s">
        <v>175</v>
      </c>
      <c r="F592" s="57">
        <f t="shared" si="13"/>
        <v>0</v>
      </c>
      <c r="G592" s="57">
        <v>0</v>
      </c>
      <c r="H592" s="57">
        <v>0.55500000000000005</v>
      </c>
      <c r="I592" s="57">
        <v>0.27539999999999998</v>
      </c>
      <c r="J592" s="33">
        <f t="shared" si="14"/>
        <v>0.55500000000000005</v>
      </c>
      <c r="K592" s="33">
        <f t="shared" si="15"/>
        <v>0.27539999999999998</v>
      </c>
    </row>
    <row r="593" spans="1:11" x14ac:dyDescent="0.2">
      <c r="A593" s="70">
        <v>44678</v>
      </c>
      <c r="B593" s="57">
        <v>2028</v>
      </c>
      <c r="C593" s="57" t="s">
        <v>173</v>
      </c>
      <c r="D593" s="57" t="s">
        <v>177</v>
      </c>
      <c r="E593" s="57" t="s">
        <v>175</v>
      </c>
      <c r="F593" s="57">
        <f t="shared" si="13"/>
        <v>0</v>
      </c>
      <c r="G593" s="57">
        <v>0</v>
      </c>
      <c r="H593" s="57">
        <v>0.27400000000000002</v>
      </c>
      <c r="I593" s="57">
        <v>0.14599999999999999</v>
      </c>
      <c r="J593" s="33">
        <f t="shared" si="14"/>
        <v>0.27400000000000002</v>
      </c>
      <c r="K593" s="33">
        <f t="shared" si="15"/>
        <v>0.14599999999999999</v>
      </c>
    </row>
    <row r="594" spans="1:11" x14ac:dyDescent="0.2">
      <c r="A594" s="70">
        <v>44678</v>
      </c>
      <c r="B594" s="57">
        <v>2029</v>
      </c>
      <c r="C594" s="57" t="s">
        <v>173</v>
      </c>
      <c r="D594" s="57" t="s">
        <v>177</v>
      </c>
      <c r="E594" s="57" t="s">
        <v>175</v>
      </c>
      <c r="F594" s="57">
        <f t="shared" si="13"/>
        <v>0</v>
      </c>
      <c r="G594" s="57">
        <v>0</v>
      </c>
      <c r="H594" s="57">
        <v>0.53800000000000003</v>
      </c>
      <c r="I594" s="57">
        <v>0.30199999999999999</v>
      </c>
      <c r="J594" s="33">
        <f t="shared" si="14"/>
        <v>0.53800000000000003</v>
      </c>
      <c r="K594" s="33">
        <f t="shared" si="15"/>
        <v>0.30199999999999999</v>
      </c>
    </row>
    <row r="595" spans="1:11" x14ac:dyDescent="0.2">
      <c r="A595" s="70">
        <v>44678</v>
      </c>
      <c r="B595" s="57">
        <v>2385</v>
      </c>
      <c r="C595" s="57" t="s">
        <v>173</v>
      </c>
      <c r="D595" s="57" t="s">
        <v>177</v>
      </c>
      <c r="E595" s="57" t="s">
        <v>178</v>
      </c>
      <c r="F595" s="57">
        <f t="shared" si="13"/>
        <v>0</v>
      </c>
      <c r="G595" s="57">
        <v>0</v>
      </c>
      <c r="H595" s="57">
        <v>4.1260000000000003</v>
      </c>
      <c r="I595" s="57">
        <v>2.073</v>
      </c>
      <c r="J595" s="33">
        <f t="shared" si="14"/>
        <v>4.1260000000000003</v>
      </c>
      <c r="K595" s="33">
        <f t="shared" si="15"/>
        <v>2.073</v>
      </c>
    </row>
    <row r="596" spans="1:11" x14ac:dyDescent="0.2">
      <c r="A596" s="70">
        <v>44678</v>
      </c>
      <c r="B596" s="57">
        <v>2092</v>
      </c>
      <c r="C596" s="57" t="s">
        <v>173</v>
      </c>
      <c r="D596" s="57" t="s">
        <v>174</v>
      </c>
      <c r="E596" s="57" t="s">
        <v>175</v>
      </c>
      <c r="F596" s="57">
        <f t="shared" si="13"/>
        <v>1</v>
      </c>
      <c r="G596" s="57">
        <v>0</v>
      </c>
      <c r="H596" s="57">
        <v>1.1060000000000001</v>
      </c>
      <c r="I596" s="57">
        <v>0.59599999999999997</v>
      </c>
      <c r="J596" s="33">
        <f t="shared" si="14"/>
        <v>1.1060000000000001</v>
      </c>
      <c r="K596" s="33">
        <f t="shared" si="15"/>
        <v>0.59599999999999997</v>
      </c>
    </row>
    <row r="597" spans="1:11" x14ac:dyDescent="0.2">
      <c r="A597" s="70">
        <v>44678</v>
      </c>
      <c r="B597" s="57">
        <v>2088</v>
      </c>
      <c r="C597" s="57" t="s">
        <v>173</v>
      </c>
      <c r="D597" s="57" t="s">
        <v>177</v>
      </c>
      <c r="E597" s="57" t="s">
        <v>175</v>
      </c>
      <c r="F597" s="57">
        <f t="shared" si="13"/>
        <v>0</v>
      </c>
      <c r="G597" s="57">
        <v>0</v>
      </c>
      <c r="H597" s="57">
        <v>0.17100000000000001</v>
      </c>
      <c r="I597" s="57">
        <v>8.5199999999999998E-2</v>
      </c>
      <c r="J597" s="33">
        <f t="shared" si="14"/>
        <v>0.17100000000000001</v>
      </c>
      <c r="K597" s="33">
        <f t="shared" si="15"/>
        <v>8.5199999999999998E-2</v>
      </c>
    </row>
    <row r="598" spans="1:11" x14ac:dyDescent="0.2">
      <c r="A598" s="70">
        <v>44678</v>
      </c>
      <c r="B598" s="57">
        <v>2015</v>
      </c>
      <c r="C598" s="57" t="s">
        <v>173</v>
      </c>
      <c r="D598" s="57" t="s">
        <v>177</v>
      </c>
      <c r="E598" s="57" t="s">
        <v>178</v>
      </c>
      <c r="F598" s="57">
        <f t="shared" si="13"/>
        <v>0</v>
      </c>
      <c r="G598" s="57">
        <v>0</v>
      </c>
      <c r="H598" s="57">
        <v>3.2080000000000002</v>
      </c>
      <c r="I598" s="57">
        <v>1.7110000000000001</v>
      </c>
      <c r="J598" s="33">
        <f t="shared" si="14"/>
        <v>3.2080000000000002</v>
      </c>
      <c r="K598" s="33">
        <f t="shared" si="15"/>
        <v>1.7110000000000001</v>
      </c>
    </row>
    <row r="599" spans="1:11" x14ac:dyDescent="0.2">
      <c r="A599" s="70">
        <v>44678</v>
      </c>
      <c r="B599" s="57">
        <v>2086</v>
      </c>
      <c r="C599" s="57" t="s">
        <v>173</v>
      </c>
      <c r="D599" s="57" t="s">
        <v>177</v>
      </c>
      <c r="E599" s="57" t="s">
        <v>175</v>
      </c>
      <c r="F599" s="57">
        <f t="shared" si="13"/>
        <v>0</v>
      </c>
      <c r="G599" s="57">
        <v>0</v>
      </c>
      <c r="H599" s="57">
        <v>0.19</v>
      </c>
      <c r="I599" s="57">
        <v>0.09</v>
      </c>
      <c r="J599" s="33">
        <f t="shared" si="14"/>
        <v>0.19</v>
      </c>
      <c r="K599" s="33">
        <f t="shared" si="15"/>
        <v>0.09</v>
      </c>
    </row>
    <row r="600" spans="1:11" x14ac:dyDescent="0.2">
      <c r="A600" s="70">
        <v>44678</v>
      </c>
      <c r="B600" s="57">
        <v>2004</v>
      </c>
      <c r="C600" s="57" t="s">
        <v>173</v>
      </c>
      <c r="D600" s="57" t="s">
        <v>177</v>
      </c>
      <c r="E600" s="57" t="s">
        <v>175</v>
      </c>
      <c r="F600" s="57">
        <f t="shared" si="13"/>
        <v>0</v>
      </c>
      <c r="G600" s="57">
        <v>0</v>
      </c>
      <c r="H600" s="57">
        <v>0.68600000000000005</v>
      </c>
      <c r="I600" s="57">
        <v>0.34</v>
      </c>
      <c r="J600" s="33">
        <f t="shared" si="14"/>
        <v>0.68600000000000005</v>
      </c>
      <c r="K600" s="33">
        <f t="shared" si="15"/>
        <v>0.34</v>
      </c>
    </row>
    <row r="601" spans="1:11" x14ac:dyDescent="0.2">
      <c r="A601" s="70">
        <v>44678</v>
      </c>
      <c r="B601" s="57">
        <v>2385</v>
      </c>
      <c r="C601" s="57" t="s">
        <v>173</v>
      </c>
      <c r="D601" s="57" t="s">
        <v>177</v>
      </c>
      <c r="E601" s="57" t="s">
        <v>175</v>
      </c>
      <c r="F601" s="57">
        <f t="shared" si="13"/>
        <v>0</v>
      </c>
      <c r="G601" s="57">
        <v>0</v>
      </c>
      <c r="H601" s="57">
        <v>0.95599999999999996</v>
      </c>
      <c r="I601" s="57">
        <v>0.44400000000000001</v>
      </c>
      <c r="J601" s="33">
        <f t="shared" si="14"/>
        <v>0.95599999999999996</v>
      </c>
      <c r="K601" s="33">
        <f t="shared" si="15"/>
        <v>0.44400000000000001</v>
      </c>
    </row>
    <row r="602" spans="1:11" x14ac:dyDescent="0.2">
      <c r="A602" s="70">
        <v>44678</v>
      </c>
      <c r="B602" s="57">
        <v>1472</v>
      </c>
      <c r="C602" s="57" t="s">
        <v>173</v>
      </c>
      <c r="D602" s="57" t="s">
        <v>177</v>
      </c>
      <c r="E602" s="57" t="s">
        <v>178</v>
      </c>
      <c r="F602" s="57">
        <f t="shared" si="13"/>
        <v>0</v>
      </c>
      <c r="G602" s="57">
        <v>0</v>
      </c>
      <c r="H602" s="57">
        <v>3.044</v>
      </c>
      <c r="I602" s="57">
        <v>1.5269999999999999</v>
      </c>
      <c r="J602" s="33">
        <f t="shared" si="14"/>
        <v>3.044</v>
      </c>
      <c r="K602" s="33">
        <f t="shared" si="15"/>
        <v>1.5269999999999999</v>
      </c>
    </row>
    <row r="603" spans="1:11" x14ac:dyDescent="0.2">
      <c r="A603" s="70">
        <v>44678</v>
      </c>
      <c r="B603" s="57">
        <v>2007</v>
      </c>
      <c r="C603" s="57" t="s">
        <v>173</v>
      </c>
      <c r="D603" s="57" t="s">
        <v>177</v>
      </c>
      <c r="E603" s="57" t="s">
        <v>175</v>
      </c>
      <c r="F603" s="57">
        <f t="shared" si="13"/>
        <v>0</v>
      </c>
      <c r="G603" s="57">
        <v>0</v>
      </c>
      <c r="H603" s="57">
        <v>0.55200000000000005</v>
      </c>
      <c r="I603" s="57">
        <v>0.28599999999999998</v>
      </c>
      <c r="J603" s="33">
        <f t="shared" si="14"/>
        <v>0.55200000000000005</v>
      </c>
      <c r="K603" s="33">
        <f t="shared" si="15"/>
        <v>0.28599999999999998</v>
      </c>
    </row>
    <row r="604" spans="1:11" x14ac:dyDescent="0.2">
      <c r="A604" s="70">
        <v>44678</v>
      </c>
      <c r="B604" s="57">
        <v>2007</v>
      </c>
      <c r="C604" s="57" t="s">
        <v>173</v>
      </c>
      <c r="D604" s="57" t="s">
        <v>177</v>
      </c>
      <c r="E604" s="57" t="s">
        <v>178</v>
      </c>
      <c r="F604" s="57">
        <f t="shared" si="13"/>
        <v>0</v>
      </c>
      <c r="G604" s="57">
        <v>0</v>
      </c>
      <c r="H604" s="57">
        <v>3.577</v>
      </c>
      <c r="I604" s="57">
        <v>1.923</v>
      </c>
      <c r="J604" s="33">
        <f t="shared" si="14"/>
        <v>3.577</v>
      </c>
      <c r="K604" s="33">
        <f t="shared" si="15"/>
        <v>1.923</v>
      </c>
    </row>
    <row r="605" spans="1:11" x14ac:dyDescent="0.2">
      <c r="A605" s="70">
        <v>44678</v>
      </c>
      <c r="B605" s="57">
        <v>2086</v>
      </c>
      <c r="C605" s="57" t="s">
        <v>173</v>
      </c>
      <c r="D605" s="57" t="s">
        <v>177</v>
      </c>
      <c r="E605" s="57" t="s">
        <v>178</v>
      </c>
      <c r="F605" s="57">
        <f t="shared" si="13"/>
        <v>0</v>
      </c>
      <c r="G605" s="57">
        <v>0</v>
      </c>
      <c r="H605" s="57">
        <v>2.2109999999999999</v>
      </c>
      <c r="I605" s="57">
        <v>1.097</v>
      </c>
      <c r="J605" s="33">
        <f t="shared" si="14"/>
        <v>2.2109999999999999</v>
      </c>
      <c r="K605" s="33">
        <f t="shared" si="15"/>
        <v>1.097</v>
      </c>
    </row>
    <row r="606" spans="1:11" x14ac:dyDescent="0.2">
      <c r="A606" s="70">
        <v>44678</v>
      </c>
      <c r="B606" s="57">
        <v>2029</v>
      </c>
      <c r="C606" s="57" t="s">
        <v>173</v>
      </c>
      <c r="D606" s="57" t="s">
        <v>174</v>
      </c>
      <c r="E606" s="57" t="s">
        <v>175</v>
      </c>
      <c r="F606" s="57">
        <f t="shared" si="13"/>
        <v>1</v>
      </c>
      <c r="G606" s="57">
        <v>0</v>
      </c>
      <c r="H606" s="57">
        <v>1.3440000000000001</v>
      </c>
      <c r="I606" s="57">
        <v>0.81200000000000006</v>
      </c>
      <c r="J606" s="33">
        <f t="shared" si="14"/>
        <v>1.3440000000000001</v>
      </c>
      <c r="K606" s="33">
        <f t="shared" si="15"/>
        <v>0.81200000000000006</v>
      </c>
    </row>
    <row r="607" spans="1:11" x14ac:dyDescent="0.2">
      <c r="A607" s="70">
        <v>44678</v>
      </c>
      <c r="B607" s="57">
        <v>2092</v>
      </c>
      <c r="C607" s="57" t="s">
        <v>173</v>
      </c>
      <c r="D607" s="57" t="s">
        <v>174</v>
      </c>
      <c r="E607" s="57" t="s">
        <v>178</v>
      </c>
      <c r="F607" s="57">
        <f t="shared" si="13"/>
        <v>1</v>
      </c>
      <c r="G607" s="57">
        <v>0</v>
      </c>
      <c r="H607" s="57">
        <v>1.988</v>
      </c>
      <c r="I607" s="57">
        <v>1.2529999999999999</v>
      </c>
      <c r="J607" s="33">
        <f t="shared" si="14"/>
        <v>1.988</v>
      </c>
      <c r="K607" s="33">
        <f t="shared" si="15"/>
        <v>1.2529999999999999</v>
      </c>
    </row>
    <row r="608" spans="1:11" x14ac:dyDescent="0.2">
      <c r="A608" s="70">
        <v>44678</v>
      </c>
      <c r="B608" s="57">
        <v>2028</v>
      </c>
      <c r="C608" s="57" t="s">
        <v>173</v>
      </c>
      <c r="D608" s="57" t="s">
        <v>177</v>
      </c>
      <c r="E608" s="57" t="s">
        <v>178</v>
      </c>
      <c r="F608" s="57">
        <f t="shared" si="13"/>
        <v>0</v>
      </c>
      <c r="G608" s="57">
        <v>0</v>
      </c>
      <c r="H608" s="57">
        <v>3.6880000000000002</v>
      </c>
      <c r="I608" s="57">
        <v>2.141</v>
      </c>
      <c r="J608" s="33">
        <f t="shared" si="14"/>
        <v>3.6880000000000002</v>
      </c>
      <c r="K608" s="33">
        <f t="shared" si="15"/>
        <v>2.141</v>
      </c>
    </row>
    <row r="609" spans="1:11" x14ac:dyDescent="0.2">
      <c r="A609" s="70">
        <v>44678</v>
      </c>
      <c r="B609" s="57">
        <v>2029</v>
      </c>
      <c r="C609" s="57" t="s">
        <v>173</v>
      </c>
      <c r="D609" s="57" t="s">
        <v>174</v>
      </c>
      <c r="E609" s="57" t="s">
        <v>178</v>
      </c>
      <c r="F609" s="57">
        <f t="shared" si="13"/>
        <v>1</v>
      </c>
      <c r="G609" s="57">
        <v>0</v>
      </c>
      <c r="H609" s="57">
        <v>3.8719999999999999</v>
      </c>
      <c r="I609" s="57">
        <v>2.4489999999999998</v>
      </c>
      <c r="J609" s="33">
        <f t="shared" si="14"/>
        <v>3.8719999999999999</v>
      </c>
      <c r="K609" s="33">
        <f t="shared" si="15"/>
        <v>2.4489999999999998</v>
      </c>
    </row>
    <row r="610" spans="1:11" x14ac:dyDescent="0.2">
      <c r="A610" s="70">
        <v>44678</v>
      </c>
      <c r="B610" s="57">
        <v>2004</v>
      </c>
      <c r="C610" s="57" t="s">
        <v>173</v>
      </c>
      <c r="D610" s="57" t="s">
        <v>177</v>
      </c>
      <c r="E610" s="57" t="s">
        <v>178</v>
      </c>
      <c r="F610" s="57">
        <f t="shared" si="13"/>
        <v>0</v>
      </c>
      <c r="G610" s="57">
        <v>0</v>
      </c>
      <c r="H610" s="57">
        <v>4.6230000000000002</v>
      </c>
      <c r="I610" s="57">
        <v>2.5539999999999998</v>
      </c>
      <c r="J610" s="33">
        <f t="shared" si="14"/>
        <v>4.6230000000000002</v>
      </c>
      <c r="K610" s="33">
        <f t="shared" si="15"/>
        <v>2.5539999999999998</v>
      </c>
    </row>
    <row r="611" spans="1:11" x14ac:dyDescent="0.2">
      <c r="A611" s="70">
        <v>44678</v>
      </c>
      <c r="B611" s="57">
        <v>2023</v>
      </c>
      <c r="C611" s="57" t="s">
        <v>176</v>
      </c>
      <c r="D611" s="57" t="s">
        <v>177</v>
      </c>
      <c r="E611" s="57" t="s">
        <v>178</v>
      </c>
      <c r="F611" s="57">
        <f t="shared" si="13"/>
        <v>0</v>
      </c>
      <c r="G611" s="57">
        <v>0</v>
      </c>
      <c r="H611" s="57">
        <v>5.4489999999999998</v>
      </c>
      <c r="I611" s="57">
        <v>3.0508000000000002</v>
      </c>
      <c r="J611" s="33">
        <f t="shared" si="14"/>
        <v>5.4489999999999998</v>
      </c>
      <c r="K611" s="33">
        <f t="shared" si="15"/>
        <v>3.0508000000000002</v>
      </c>
    </row>
    <row r="612" spans="1:11" x14ac:dyDescent="0.2">
      <c r="A612" s="70">
        <v>44678</v>
      </c>
      <c r="B612" s="57">
        <v>2091</v>
      </c>
      <c r="C612" s="57" t="s">
        <v>176</v>
      </c>
      <c r="D612" s="57" t="s">
        <v>177</v>
      </c>
      <c r="E612" s="57" t="s">
        <v>175</v>
      </c>
      <c r="F612" s="57">
        <f t="shared" si="13"/>
        <v>0</v>
      </c>
      <c r="G612" s="57">
        <v>0</v>
      </c>
      <c r="H612" s="57">
        <v>0.56999999999999995</v>
      </c>
      <c r="I612" s="57">
        <v>0.24179999999999999</v>
      </c>
      <c r="J612" s="33">
        <f t="shared" si="14"/>
        <v>0.56999999999999995</v>
      </c>
      <c r="K612" s="33">
        <f t="shared" si="15"/>
        <v>0.24179999999999999</v>
      </c>
    </row>
    <row r="613" spans="1:11" x14ac:dyDescent="0.2">
      <c r="A613" s="70">
        <v>44678</v>
      </c>
      <c r="B613" s="57">
        <v>2004</v>
      </c>
      <c r="C613" s="57" t="s">
        <v>176</v>
      </c>
      <c r="D613" s="57" t="s">
        <v>174</v>
      </c>
      <c r="E613" s="57" t="s">
        <v>178</v>
      </c>
      <c r="F613" s="57">
        <f t="shared" si="13"/>
        <v>1</v>
      </c>
      <c r="G613" s="57">
        <v>0</v>
      </c>
      <c r="H613" s="57">
        <v>8.6990999999999996</v>
      </c>
      <c r="I613" s="57">
        <v>4.8098000000000001</v>
      </c>
      <c r="J613" s="33">
        <f t="shared" si="14"/>
        <v>8.6990999999999996</v>
      </c>
      <c r="K613" s="33">
        <f t="shared" si="15"/>
        <v>4.8098000000000001</v>
      </c>
    </row>
    <row r="614" spans="1:11" x14ac:dyDescent="0.2">
      <c r="A614" s="70">
        <v>44678</v>
      </c>
      <c r="B614" s="57">
        <v>2091</v>
      </c>
      <c r="C614" s="57" t="s">
        <v>176</v>
      </c>
      <c r="D614" s="57" t="s">
        <v>174</v>
      </c>
      <c r="E614" s="57" t="s">
        <v>175</v>
      </c>
      <c r="F614" s="57">
        <f t="shared" si="13"/>
        <v>1</v>
      </c>
      <c r="G614" s="57">
        <v>0</v>
      </c>
      <c r="H614" s="57">
        <v>1.1040000000000001</v>
      </c>
      <c r="I614" s="57">
        <v>0.60919999999999996</v>
      </c>
      <c r="J614" s="33">
        <f t="shared" si="14"/>
        <v>1.1040000000000001</v>
      </c>
      <c r="K614" s="33">
        <f t="shared" si="15"/>
        <v>0.60919999999999996</v>
      </c>
    </row>
    <row r="615" spans="1:11" x14ac:dyDescent="0.2">
      <c r="A615" s="70">
        <v>44678</v>
      </c>
      <c r="B615" s="57">
        <v>2089</v>
      </c>
      <c r="C615" s="57" t="s">
        <v>176</v>
      </c>
      <c r="D615" s="57" t="s">
        <v>174</v>
      </c>
      <c r="E615" s="57" t="s">
        <v>178</v>
      </c>
      <c r="F615" s="57">
        <f t="shared" si="13"/>
        <v>1</v>
      </c>
      <c r="G615" s="57">
        <v>0</v>
      </c>
      <c r="H615" s="57">
        <v>4.4660000000000002</v>
      </c>
      <c r="I615" s="57">
        <v>2.6619999999999999</v>
      </c>
      <c r="J615" s="33">
        <f t="shared" si="14"/>
        <v>4.4660000000000002</v>
      </c>
      <c r="K615" s="33">
        <f t="shared" si="15"/>
        <v>2.6619999999999999</v>
      </c>
    </row>
    <row r="616" spans="1:11" x14ac:dyDescent="0.2">
      <c r="A616" s="70">
        <v>44678</v>
      </c>
      <c r="B616" s="57">
        <v>2004</v>
      </c>
      <c r="C616" s="57" t="s">
        <v>176</v>
      </c>
      <c r="D616" s="57" t="s">
        <v>177</v>
      </c>
      <c r="E616" s="57" t="s">
        <v>175</v>
      </c>
      <c r="F616" s="57">
        <f t="shared" si="13"/>
        <v>0</v>
      </c>
      <c r="G616" s="57">
        <v>0</v>
      </c>
      <c r="H616" s="57">
        <v>1.5017</v>
      </c>
      <c r="I616" s="57">
        <v>0.75249999999999995</v>
      </c>
      <c r="J616" s="33">
        <f t="shared" si="14"/>
        <v>1.5017</v>
      </c>
      <c r="K616" s="33">
        <f t="shared" si="15"/>
        <v>0.75249999999999995</v>
      </c>
    </row>
    <row r="617" spans="1:11" x14ac:dyDescent="0.2">
      <c r="A617" s="70">
        <v>44678</v>
      </c>
      <c r="B617" s="57">
        <v>2029</v>
      </c>
      <c r="C617" s="57" t="s">
        <v>176</v>
      </c>
      <c r="D617" s="57" t="s">
        <v>177</v>
      </c>
      <c r="E617" s="57" t="s">
        <v>178</v>
      </c>
      <c r="F617" s="57">
        <f t="shared" si="13"/>
        <v>0</v>
      </c>
      <c r="G617" s="57">
        <v>0</v>
      </c>
      <c r="H617" s="57">
        <v>5.05</v>
      </c>
      <c r="I617" s="57">
        <v>2.8391999999999999</v>
      </c>
      <c r="J617" s="33">
        <f t="shared" si="14"/>
        <v>5.05</v>
      </c>
      <c r="K617" s="33">
        <f t="shared" si="15"/>
        <v>2.8391999999999999</v>
      </c>
    </row>
    <row r="618" spans="1:11" x14ac:dyDescent="0.2">
      <c r="A618" s="70">
        <v>44678</v>
      </c>
      <c r="B618" s="57">
        <v>2092</v>
      </c>
      <c r="C618" s="57" t="s">
        <v>176</v>
      </c>
      <c r="D618" s="57" t="s">
        <v>174</v>
      </c>
      <c r="E618" s="57" t="s">
        <v>178</v>
      </c>
      <c r="F618" s="57">
        <f t="shared" si="13"/>
        <v>1</v>
      </c>
      <c r="G618" s="57">
        <v>0</v>
      </c>
      <c r="H618" s="57">
        <v>9.5755999999999997</v>
      </c>
      <c r="I618" s="57">
        <v>5.8113999999999999</v>
      </c>
      <c r="J618" s="33">
        <f t="shared" si="14"/>
        <v>9.5755999999999997</v>
      </c>
      <c r="K618" s="33">
        <f t="shared" si="15"/>
        <v>5.8113999999999999</v>
      </c>
    </row>
    <row r="619" spans="1:11" x14ac:dyDescent="0.2">
      <c r="A619" s="70">
        <v>44678</v>
      </c>
      <c r="B619" s="57">
        <v>2091</v>
      </c>
      <c r="C619" s="57" t="s">
        <v>176</v>
      </c>
      <c r="D619" s="57" t="s">
        <v>177</v>
      </c>
      <c r="E619" s="57" t="s">
        <v>178</v>
      </c>
      <c r="F619" s="57">
        <f t="shared" si="13"/>
        <v>0</v>
      </c>
      <c r="G619" s="57">
        <v>0</v>
      </c>
      <c r="H619" s="57">
        <v>4.0259999999999998</v>
      </c>
      <c r="I619" s="57">
        <v>1.8340000000000001</v>
      </c>
      <c r="J619" s="33">
        <f t="shared" si="14"/>
        <v>4.0259999999999998</v>
      </c>
      <c r="K619" s="33">
        <f t="shared" si="15"/>
        <v>1.8340000000000001</v>
      </c>
    </row>
    <row r="620" spans="1:11" x14ac:dyDescent="0.2">
      <c r="A620" s="70">
        <v>44678</v>
      </c>
      <c r="B620" s="57">
        <v>2090</v>
      </c>
      <c r="C620" s="57" t="s">
        <v>176</v>
      </c>
      <c r="D620" s="57" t="s">
        <v>174</v>
      </c>
      <c r="E620" s="57" t="s">
        <v>175</v>
      </c>
      <c r="F620" s="57">
        <f t="shared" si="13"/>
        <v>1</v>
      </c>
      <c r="G620" s="57">
        <v>0</v>
      </c>
      <c r="H620" s="57">
        <v>1.4486000000000001</v>
      </c>
      <c r="I620" s="57">
        <v>0.78659999999999997</v>
      </c>
      <c r="J620" s="33">
        <f t="shared" si="14"/>
        <v>1.4486000000000001</v>
      </c>
      <c r="K620" s="33">
        <f t="shared" si="15"/>
        <v>0.78659999999999997</v>
      </c>
    </row>
    <row r="621" spans="1:11" x14ac:dyDescent="0.2">
      <c r="A621" s="70">
        <v>44678</v>
      </c>
      <c r="B621" s="57">
        <v>2088</v>
      </c>
      <c r="C621" s="57" t="s">
        <v>176</v>
      </c>
      <c r="D621" s="57" t="s">
        <v>177</v>
      </c>
      <c r="E621" s="57" t="s">
        <v>178</v>
      </c>
      <c r="F621" s="57">
        <f t="shared" si="13"/>
        <v>0</v>
      </c>
      <c r="G621" s="57">
        <v>0</v>
      </c>
      <c r="H621" s="57">
        <v>6.7885999999999997</v>
      </c>
      <c r="I621" s="57">
        <v>3.4679000000000002</v>
      </c>
      <c r="J621" s="33">
        <f t="shared" si="14"/>
        <v>6.7885999999999997</v>
      </c>
      <c r="K621" s="33">
        <f t="shared" si="15"/>
        <v>3.4679000000000002</v>
      </c>
    </row>
    <row r="622" spans="1:11" x14ac:dyDescent="0.2">
      <c r="A622" s="70">
        <v>44678</v>
      </c>
      <c r="B622" s="57">
        <v>2087</v>
      </c>
      <c r="C622" s="57" t="s">
        <v>176</v>
      </c>
      <c r="D622" s="57" t="s">
        <v>174</v>
      </c>
      <c r="E622" s="57" t="s">
        <v>175</v>
      </c>
      <c r="F622" s="57">
        <f t="shared" si="13"/>
        <v>1</v>
      </c>
      <c r="G622" s="57">
        <v>0</v>
      </c>
      <c r="H622" s="57">
        <v>3.2059000000000002</v>
      </c>
      <c r="I622" s="57">
        <v>1.7342</v>
      </c>
      <c r="J622" s="33">
        <f t="shared" si="14"/>
        <v>3.2059000000000002</v>
      </c>
      <c r="K622" s="33">
        <f t="shared" si="15"/>
        <v>1.7342</v>
      </c>
    </row>
    <row r="623" spans="1:11" x14ac:dyDescent="0.2">
      <c r="A623" s="70">
        <v>44678</v>
      </c>
      <c r="B623" s="57">
        <v>2020</v>
      </c>
      <c r="C623" s="57" t="s">
        <v>176</v>
      </c>
      <c r="D623" s="57" t="s">
        <v>177</v>
      </c>
      <c r="E623" s="57" t="s">
        <v>178</v>
      </c>
      <c r="F623" s="57">
        <f t="shared" si="13"/>
        <v>0</v>
      </c>
      <c r="G623" s="57">
        <v>0</v>
      </c>
      <c r="H623" s="57">
        <v>5.8789999999999996</v>
      </c>
      <c r="I623" s="57">
        <v>3.2193000000000001</v>
      </c>
      <c r="J623" s="33">
        <f t="shared" si="14"/>
        <v>5.8789999999999996</v>
      </c>
      <c r="K623" s="33">
        <f t="shared" si="15"/>
        <v>3.2193000000000001</v>
      </c>
    </row>
    <row r="624" spans="1:11" x14ac:dyDescent="0.2">
      <c r="A624" s="70">
        <v>44678</v>
      </c>
      <c r="B624" s="57">
        <v>2085</v>
      </c>
      <c r="C624" s="57" t="s">
        <v>176</v>
      </c>
      <c r="D624" s="57" t="s">
        <v>177</v>
      </c>
      <c r="E624" s="57" t="s">
        <v>178</v>
      </c>
      <c r="F624" s="57">
        <f t="shared" si="13"/>
        <v>0</v>
      </c>
      <c r="G624" s="57">
        <v>0</v>
      </c>
      <c r="H624" s="57">
        <v>5.9989999999999997</v>
      </c>
      <c r="I624" s="57">
        <v>5.2629999999999999</v>
      </c>
      <c r="J624" s="33">
        <f t="shared" si="14"/>
        <v>5.9989999999999997</v>
      </c>
      <c r="K624" s="33">
        <f t="shared" si="15"/>
        <v>5.2629999999999999</v>
      </c>
    </row>
    <row r="625" spans="1:11" x14ac:dyDescent="0.2">
      <c r="A625" s="70">
        <v>44678</v>
      </c>
      <c r="B625" s="57" t="s">
        <v>183</v>
      </c>
      <c r="C625" s="57" t="s">
        <v>176</v>
      </c>
      <c r="D625" s="57" t="s">
        <v>177</v>
      </c>
      <c r="E625" s="57" t="s">
        <v>179</v>
      </c>
      <c r="F625" s="57">
        <f t="shared" si="13"/>
        <v>0</v>
      </c>
      <c r="G625" s="57">
        <v>0</v>
      </c>
      <c r="H625" s="57">
        <v>0.6169</v>
      </c>
      <c r="I625" s="57">
        <v>0.30709999999999998</v>
      </c>
      <c r="J625" s="33">
        <f t="shared" si="14"/>
        <v>0.6169</v>
      </c>
      <c r="K625" s="33">
        <f t="shared" si="15"/>
        <v>0.30709999999999998</v>
      </c>
    </row>
    <row r="626" spans="1:11" x14ac:dyDescent="0.2">
      <c r="A626" s="70">
        <v>44678</v>
      </c>
      <c r="B626" s="57">
        <v>2086</v>
      </c>
      <c r="C626" s="57" t="s">
        <v>176</v>
      </c>
      <c r="D626" s="57" t="s">
        <v>177</v>
      </c>
      <c r="E626" s="57" t="s">
        <v>178</v>
      </c>
      <c r="F626" s="57">
        <f t="shared" si="13"/>
        <v>0</v>
      </c>
      <c r="G626" s="57">
        <v>0</v>
      </c>
      <c r="H626" s="57">
        <v>6.6059000000000001</v>
      </c>
      <c r="I626" s="57">
        <v>2.9093</v>
      </c>
      <c r="J626" s="33">
        <f t="shared" si="14"/>
        <v>6.6059000000000001</v>
      </c>
      <c r="K626" s="33">
        <f t="shared" si="15"/>
        <v>2.9093</v>
      </c>
    </row>
    <row r="627" spans="1:11" x14ac:dyDescent="0.2">
      <c r="A627" s="70">
        <v>44678</v>
      </c>
      <c r="B627" s="57">
        <v>2020</v>
      </c>
      <c r="C627" s="57" t="s">
        <v>176</v>
      </c>
      <c r="D627" s="57" t="s">
        <v>177</v>
      </c>
      <c r="E627" s="57" t="s">
        <v>175</v>
      </c>
      <c r="F627" s="57">
        <f t="shared" si="13"/>
        <v>0</v>
      </c>
      <c r="G627" s="57">
        <v>0</v>
      </c>
      <c r="H627" s="57">
        <v>0.60099999999999998</v>
      </c>
      <c r="I627" s="57">
        <v>0.3039</v>
      </c>
      <c r="J627" s="33">
        <f t="shared" si="14"/>
        <v>0.60099999999999998</v>
      </c>
      <c r="K627" s="33">
        <f t="shared" si="15"/>
        <v>0.3039</v>
      </c>
    </row>
    <row r="628" spans="1:11" x14ac:dyDescent="0.2">
      <c r="A628" s="70">
        <v>44678</v>
      </c>
      <c r="B628" s="57">
        <v>2087</v>
      </c>
      <c r="C628" s="57" t="s">
        <v>176</v>
      </c>
      <c r="D628" s="57" t="s">
        <v>177</v>
      </c>
      <c r="E628" s="57" t="s">
        <v>175</v>
      </c>
      <c r="F628" s="57">
        <f t="shared" si="13"/>
        <v>0</v>
      </c>
      <c r="G628" s="57">
        <v>0</v>
      </c>
      <c r="H628" s="57">
        <v>2.1071</v>
      </c>
      <c r="I628" s="57">
        <v>0.95520000000000005</v>
      </c>
      <c r="J628" s="33">
        <f t="shared" si="14"/>
        <v>2.1071</v>
      </c>
      <c r="K628" s="33">
        <f t="shared" si="15"/>
        <v>0.95520000000000005</v>
      </c>
    </row>
    <row r="629" spans="1:11" x14ac:dyDescent="0.2">
      <c r="A629" s="70">
        <v>44678</v>
      </c>
      <c r="B629" s="57">
        <v>2030</v>
      </c>
      <c r="C629" s="57" t="s">
        <v>176</v>
      </c>
      <c r="D629" s="57" t="s">
        <v>177</v>
      </c>
      <c r="E629" s="57" t="s">
        <v>178</v>
      </c>
      <c r="F629" s="57">
        <f t="shared" si="13"/>
        <v>0</v>
      </c>
      <c r="G629" s="57">
        <v>0</v>
      </c>
      <c r="H629" s="57">
        <v>3.0019999999999998</v>
      </c>
      <c r="I629" s="57">
        <v>1.698</v>
      </c>
      <c r="J629" s="33">
        <f t="shared" si="14"/>
        <v>3.0019999999999998</v>
      </c>
      <c r="K629" s="33">
        <f t="shared" si="15"/>
        <v>1.698</v>
      </c>
    </row>
    <row r="630" spans="1:11" x14ac:dyDescent="0.2">
      <c r="A630" s="70">
        <v>44678</v>
      </c>
      <c r="B630" s="57">
        <v>2092</v>
      </c>
      <c r="C630" s="57" t="s">
        <v>176</v>
      </c>
      <c r="D630" s="57" t="s">
        <v>177</v>
      </c>
      <c r="E630" s="57" t="s">
        <v>178</v>
      </c>
      <c r="F630" s="57">
        <f t="shared" si="13"/>
        <v>0</v>
      </c>
      <c r="G630" s="57">
        <v>0</v>
      </c>
      <c r="H630" s="57">
        <v>1.2072000000000001</v>
      </c>
      <c r="I630" s="57">
        <v>0.5212</v>
      </c>
      <c r="J630" s="33">
        <f t="shared" si="14"/>
        <v>1.2072000000000001</v>
      </c>
      <c r="K630" s="33">
        <f t="shared" si="15"/>
        <v>0.5212</v>
      </c>
    </row>
    <row r="631" spans="1:11" x14ac:dyDescent="0.2">
      <c r="A631" s="70">
        <v>44678</v>
      </c>
      <c r="B631" s="57">
        <v>2090</v>
      </c>
      <c r="C631" s="57" t="s">
        <v>176</v>
      </c>
      <c r="D631" s="57" t="s">
        <v>177</v>
      </c>
      <c r="E631" s="57" t="s">
        <v>175</v>
      </c>
      <c r="F631" s="57">
        <f t="shared" ref="F631:F885" si="16">IF(D631="old",1,0)</f>
        <v>0</v>
      </c>
      <c r="G631" s="57">
        <v>0</v>
      </c>
      <c r="H631" s="57">
        <v>0.67779999999999996</v>
      </c>
      <c r="I631" s="57">
        <v>0.32990000000000003</v>
      </c>
      <c r="J631" s="33">
        <f t="shared" si="14"/>
        <v>0.67779999999999996</v>
      </c>
      <c r="K631" s="33">
        <f t="shared" si="15"/>
        <v>0.32990000000000003</v>
      </c>
    </row>
    <row r="632" spans="1:11" x14ac:dyDescent="0.2">
      <c r="A632" s="70">
        <v>44678</v>
      </c>
      <c r="B632" s="57">
        <v>2090</v>
      </c>
      <c r="C632" s="57" t="s">
        <v>176</v>
      </c>
      <c r="D632" s="57" t="s">
        <v>177</v>
      </c>
      <c r="E632" s="57" t="s">
        <v>178</v>
      </c>
      <c r="F632" s="57">
        <f t="shared" si="16"/>
        <v>0</v>
      </c>
      <c r="G632" s="57">
        <v>0</v>
      </c>
      <c r="H632" s="57">
        <v>6.7416999999999998</v>
      </c>
      <c r="I632" s="57">
        <v>5.5393999999999997</v>
      </c>
      <c r="J632" s="33">
        <f t="shared" si="14"/>
        <v>6.7416999999999998</v>
      </c>
      <c r="K632" s="33">
        <f t="shared" si="15"/>
        <v>5.5393999999999997</v>
      </c>
    </row>
    <row r="633" spans="1:11" x14ac:dyDescent="0.2">
      <c r="A633" s="70">
        <v>44678</v>
      </c>
      <c r="B633" s="57">
        <v>2085</v>
      </c>
      <c r="C633" s="57" t="s">
        <v>176</v>
      </c>
      <c r="D633" s="57" t="s">
        <v>177</v>
      </c>
      <c r="E633" s="57" t="s">
        <v>175</v>
      </c>
      <c r="F633" s="57">
        <f t="shared" si="16"/>
        <v>0</v>
      </c>
      <c r="G633" s="57">
        <v>0</v>
      </c>
      <c r="H633" s="57">
        <v>1.024</v>
      </c>
      <c r="I633" s="57">
        <v>0.49509999999999998</v>
      </c>
      <c r="J633" s="33">
        <f t="shared" si="14"/>
        <v>1.024</v>
      </c>
      <c r="K633" s="33">
        <f t="shared" si="15"/>
        <v>0.49509999999999998</v>
      </c>
    </row>
    <row r="634" spans="1:11" x14ac:dyDescent="0.2">
      <c r="A634" s="70">
        <v>44678</v>
      </c>
      <c r="B634" s="57">
        <v>2026</v>
      </c>
      <c r="C634" s="57" t="s">
        <v>176</v>
      </c>
      <c r="D634" s="57" t="s">
        <v>177</v>
      </c>
      <c r="E634" s="57" t="s">
        <v>175</v>
      </c>
      <c r="F634" s="57">
        <f t="shared" si="16"/>
        <v>0</v>
      </c>
      <c r="G634" s="57">
        <v>0</v>
      </c>
      <c r="H634" s="57">
        <v>0.746</v>
      </c>
      <c r="I634" s="57">
        <v>0.41389999999999999</v>
      </c>
      <c r="J634" s="33">
        <f t="shared" si="14"/>
        <v>0.746</v>
      </c>
      <c r="K634" s="33">
        <f t="shared" si="15"/>
        <v>0.41389999999999999</v>
      </c>
    </row>
    <row r="635" spans="1:11" x14ac:dyDescent="0.2">
      <c r="A635" s="70">
        <v>44678</v>
      </c>
      <c r="B635" s="57">
        <v>2088</v>
      </c>
      <c r="C635" s="57" t="s">
        <v>176</v>
      </c>
      <c r="D635" s="57" t="s">
        <v>177</v>
      </c>
      <c r="E635" s="57" t="s">
        <v>175</v>
      </c>
      <c r="F635" s="57">
        <f t="shared" si="16"/>
        <v>0</v>
      </c>
      <c r="G635" s="57">
        <v>0</v>
      </c>
      <c r="H635" s="57">
        <v>0.98560000000000003</v>
      </c>
      <c r="I635" s="57">
        <v>0.47170000000000001</v>
      </c>
      <c r="J635" s="33">
        <f t="shared" si="14"/>
        <v>0.98560000000000003</v>
      </c>
      <c r="K635" s="33">
        <f t="shared" si="15"/>
        <v>0.47170000000000001</v>
      </c>
    </row>
    <row r="636" spans="1:11" x14ac:dyDescent="0.2">
      <c r="A636" s="70">
        <v>44678</v>
      </c>
      <c r="B636" s="57">
        <v>2030</v>
      </c>
      <c r="C636" s="57" t="s">
        <v>176</v>
      </c>
      <c r="D636" s="57" t="s">
        <v>177</v>
      </c>
      <c r="E636" s="57" t="s">
        <v>175</v>
      </c>
      <c r="F636" s="57">
        <f t="shared" si="16"/>
        <v>0</v>
      </c>
      <c r="G636" s="57">
        <v>0</v>
      </c>
      <c r="H636" s="57">
        <v>0.29699999999999999</v>
      </c>
      <c r="I636" s="57">
        <v>0.16339999999999999</v>
      </c>
      <c r="J636" s="33">
        <f t="shared" si="14"/>
        <v>0.29699999999999999</v>
      </c>
      <c r="K636" s="33">
        <f t="shared" si="15"/>
        <v>0.16339999999999999</v>
      </c>
    </row>
    <row r="637" spans="1:11" x14ac:dyDescent="0.2">
      <c r="A637" s="70">
        <v>44678</v>
      </c>
      <c r="B637" s="57">
        <v>2093</v>
      </c>
      <c r="C637" s="57" t="s">
        <v>176</v>
      </c>
      <c r="D637" s="57" t="s">
        <v>177</v>
      </c>
      <c r="E637" s="57" t="s">
        <v>178</v>
      </c>
      <c r="F637" s="57">
        <f t="shared" si="16"/>
        <v>0</v>
      </c>
      <c r="G637" s="57">
        <v>0</v>
      </c>
      <c r="H637" s="57">
        <v>6.3935000000000004</v>
      </c>
      <c r="I637" s="57">
        <v>2.5830000000000002</v>
      </c>
      <c r="J637" s="33">
        <f t="shared" si="14"/>
        <v>6.3935000000000004</v>
      </c>
      <c r="K637" s="33">
        <f t="shared" si="15"/>
        <v>2.5830000000000002</v>
      </c>
    </row>
    <row r="638" spans="1:11" x14ac:dyDescent="0.2">
      <c r="A638" s="70">
        <v>44678</v>
      </c>
      <c r="B638" s="57">
        <v>2029</v>
      </c>
      <c r="C638" s="57" t="s">
        <v>176</v>
      </c>
      <c r="D638" s="57" t="s">
        <v>177</v>
      </c>
      <c r="E638" s="57" t="s">
        <v>175</v>
      </c>
      <c r="F638" s="57">
        <f t="shared" si="16"/>
        <v>0</v>
      </c>
      <c r="G638" s="57">
        <v>0</v>
      </c>
      <c r="H638" s="57">
        <v>0.21</v>
      </c>
      <c r="I638" s="57">
        <v>0.11650000000000001</v>
      </c>
      <c r="J638" s="33">
        <f t="shared" si="14"/>
        <v>0.21</v>
      </c>
      <c r="K638" s="33">
        <f t="shared" si="15"/>
        <v>0.11650000000000001</v>
      </c>
    </row>
    <row r="639" spans="1:11" x14ac:dyDescent="0.2">
      <c r="A639" s="70">
        <v>44678</v>
      </c>
      <c r="B639" s="57">
        <v>2028</v>
      </c>
      <c r="C639" s="57" t="s">
        <v>176</v>
      </c>
      <c r="D639" s="57" t="s">
        <v>177</v>
      </c>
      <c r="E639" s="57" t="s">
        <v>175</v>
      </c>
      <c r="F639" s="57">
        <f t="shared" si="16"/>
        <v>0</v>
      </c>
      <c r="G639" s="57">
        <v>0</v>
      </c>
      <c r="H639" s="57">
        <v>0.34799999999999998</v>
      </c>
      <c r="I639" s="57">
        <v>0.18709999999999999</v>
      </c>
      <c r="J639" s="33">
        <f t="shared" si="14"/>
        <v>0.34799999999999998</v>
      </c>
      <c r="K639" s="33">
        <f t="shared" si="15"/>
        <v>0.18709999999999999</v>
      </c>
    </row>
    <row r="640" spans="1:11" x14ac:dyDescent="0.2">
      <c r="A640" s="70">
        <v>44678</v>
      </c>
      <c r="B640" s="57">
        <v>2006</v>
      </c>
      <c r="C640" s="57" t="s">
        <v>176</v>
      </c>
      <c r="D640" s="57" t="s">
        <v>177</v>
      </c>
      <c r="E640" s="57" t="s">
        <v>178</v>
      </c>
      <c r="F640" s="57">
        <f t="shared" si="16"/>
        <v>0</v>
      </c>
      <c r="G640" s="57">
        <v>0</v>
      </c>
      <c r="H640" s="57">
        <v>6.3390000000000004</v>
      </c>
      <c r="I640" s="57">
        <v>3.5352999999999999</v>
      </c>
      <c r="J640" s="33">
        <f t="shared" si="14"/>
        <v>6.3390000000000004</v>
      </c>
      <c r="K640" s="33">
        <f t="shared" si="15"/>
        <v>3.5352999999999999</v>
      </c>
    </row>
    <row r="641" spans="1:11" x14ac:dyDescent="0.2">
      <c r="A641" s="70">
        <v>44678</v>
      </c>
      <c r="B641" s="57">
        <v>2086</v>
      </c>
      <c r="C641" s="57" t="s">
        <v>176</v>
      </c>
      <c r="D641" s="57" t="s">
        <v>177</v>
      </c>
      <c r="E641" s="57" t="s">
        <v>175</v>
      </c>
      <c r="F641" s="57">
        <f t="shared" si="16"/>
        <v>0</v>
      </c>
      <c r="G641" s="57">
        <v>0</v>
      </c>
      <c r="H641" s="57">
        <v>0.5302</v>
      </c>
      <c r="I641" s="57">
        <v>0.25990000000000002</v>
      </c>
      <c r="J641" s="33">
        <f t="shared" si="14"/>
        <v>0.5302</v>
      </c>
      <c r="K641" s="33">
        <f t="shared" si="15"/>
        <v>0.25990000000000002</v>
      </c>
    </row>
    <row r="642" spans="1:11" x14ac:dyDescent="0.2">
      <c r="A642" s="70">
        <v>44678</v>
      </c>
      <c r="B642" s="57">
        <v>2092</v>
      </c>
      <c r="C642" s="57" t="s">
        <v>176</v>
      </c>
      <c r="D642" s="57" t="s">
        <v>174</v>
      </c>
      <c r="E642" s="57" t="s">
        <v>175</v>
      </c>
      <c r="F642" s="57">
        <f t="shared" si="16"/>
        <v>1</v>
      </c>
      <c r="G642" s="57">
        <v>0</v>
      </c>
      <c r="H642" s="57">
        <v>1.9468000000000001</v>
      </c>
      <c r="I642" s="57">
        <v>1.0978000000000001</v>
      </c>
      <c r="J642" s="33">
        <f t="shared" si="14"/>
        <v>1.9468000000000001</v>
      </c>
      <c r="K642" s="33">
        <f t="shared" si="15"/>
        <v>1.0978000000000001</v>
      </c>
    </row>
    <row r="643" spans="1:11" x14ac:dyDescent="0.2">
      <c r="A643" s="70">
        <v>44678</v>
      </c>
      <c r="B643" s="57">
        <v>2025</v>
      </c>
      <c r="C643" s="57" t="s">
        <v>176</v>
      </c>
      <c r="D643" s="57" t="s">
        <v>177</v>
      </c>
      <c r="E643" s="57" t="s">
        <v>175</v>
      </c>
      <c r="F643" s="57">
        <f t="shared" si="16"/>
        <v>0</v>
      </c>
      <c r="G643" s="57">
        <v>0</v>
      </c>
      <c r="H643" s="57">
        <v>0.56699999999999995</v>
      </c>
      <c r="I643" s="57">
        <v>0.30840000000000001</v>
      </c>
      <c r="J643" s="33">
        <f t="shared" si="14"/>
        <v>0.56699999999999995</v>
      </c>
      <c r="K643" s="33">
        <f t="shared" si="15"/>
        <v>0.30840000000000001</v>
      </c>
    </row>
    <row r="644" spans="1:11" x14ac:dyDescent="0.2">
      <c r="A644" s="70">
        <v>44678</v>
      </c>
      <c r="B644" s="57">
        <v>2029</v>
      </c>
      <c r="C644" s="57" t="s">
        <v>176</v>
      </c>
      <c r="D644" s="57" t="s">
        <v>174</v>
      </c>
      <c r="E644" s="57" t="s">
        <v>175</v>
      </c>
      <c r="F644" s="57">
        <f t="shared" si="16"/>
        <v>1</v>
      </c>
      <c r="G644" s="57">
        <v>0</v>
      </c>
      <c r="H644" s="57">
        <v>1.022</v>
      </c>
      <c r="I644" s="57">
        <v>0.62419999999999998</v>
      </c>
      <c r="J644" s="33">
        <f t="shared" si="14"/>
        <v>1.022</v>
      </c>
      <c r="K644" s="33">
        <f t="shared" si="15"/>
        <v>0.62419999999999998</v>
      </c>
    </row>
    <row r="645" spans="1:11" x14ac:dyDescent="0.2">
      <c r="A645" s="70">
        <v>44678</v>
      </c>
      <c r="B645" s="57">
        <v>2088</v>
      </c>
      <c r="C645" s="57" t="s">
        <v>176</v>
      </c>
      <c r="D645" s="57" t="s">
        <v>174</v>
      </c>
      <c r="E645" s="57" t="s">
        <v>175</v>
      </c>
      <c r="F645" s="57">
        <f t="shared" si="16"/>
        <v>1</v>
      </c>
      <c r="G645" s="57">
        <v>0</v>
      </c>
      <c r="H645" s="57">
        <v>1.6177999999999999</v>
      </c>
      <c r="I645" s="57">
        <v>0.88619999999999999</v>
      </c>
      <c r="J645" s="33">
        <f t="shared" si="14"/>
        <v>1.6177999999999999</v>
      </c>
      <c r="K645" s="33">
        <f t="shared" si="15"/>
        <v>0.88619999999999999</v>
      </c>
    </row>
    <row r="646" spans="1:11" x14ac:dyDescent="0.2">
      <c r="A646" s="70">
        <v>44678</v>
      </c>
      <c r="B646" s="57">
        <v>2089</v>
      </c>
      <c r="C646" s="57" t="s">
        <v>176</v>
      </c>
      <c r="D646" s="57" t="s">
        <v>174</v>
      </c>
      <c r="E646" s="57" t="s">
        <v>175</v>
      </c>
      <c r="F646" s="57">
        <f t="shared" si="16"/>
        <v>1</v>
      </c>
      <c r="G646" s="57">
        <v>0</v>
      </c>
      <c r="H646" s="57">
        <v>1.599</v>
      </c>
      <c r="I646" s="57">
        <v>0.92200000000000004</v>
      </c>
      <c r="J646" s="33">
        <f t="shared" si="14"/>
        <v>1.599</v>
      </c>
      <c r="K646" s="33">
        <f t="shared" si="15"/>
        <v>0.92200000000000004</v>
      </c>
    </row>
    <row r="647" spans="1:11" x14ac:dyDescent="0.2">
      <c r="A647" s="70">
        <v>44678</v>
      </c>
      <c r="B647" s="57" t="s">
        <v>184</v>
      </c>
      <c r="C647" s="57" t="s">
        <v>176</v>
      </c>
      <c r="D647" s="57" t="s">
        <v>177</v>
      </c>
      <c r="E647" s="57" t="s">
        <v>179</v>
      </c>
      <c r="F647" s="57">
        <f t="shared" si="16"/>
        <v>0</v>
      </c>
      <c r="G647" s="57">
        <v>0</v>
      </c>
      <c r="H647" s="57">
        <v>3.23</v>
      </c>
      <c r="I647" s="57">
        <v>1.6227</v>
      </c>
      <c r="J647" s="33">
        <f t="shared" si="14"/>
        <v>3.23</v>
      </c>
      <c r="K647" s="33">
        <f t="shared" si="15"/>
        <v>1.6227</v>
      </c>
    </row>
    <row r="648" spans="1:11" x14ac:dyDescent="0.2">
      <c r="A648" s="70">
        <v>44678</v>
      </c>
      <c r="B648" s="57" t="s">
        <v>185</v>
      </c>
      <c r="C648" s="57" t="s">
        <v>176</v>
      </c>
      <c r="D648" s="57" t="s">
        <v>177</v>
      </c>
      <c r="E648" s="57" t="s">
        <v>179</v>
      </c>
      <c r="F648" s="57">
        <f t="shared" si="16"/>
        <v>0</v>
      </c>
      <c r="G648" s="57">
        <v>0</v>
      </c>
      <c r="H648" s="57">
        <v>2.5066000000000002</v>
      </c>
      <c r="I648" s="57">
        <v>1.1612</v>
      </c>
      <c r="J648" s="33">
        <f t="shared" si="14"/>
        <v>2.5066000000000002</v>
      </c>
      <c r="K648" s="33">
        <f t="shared" si="15"/>
        <v>1.1612</v>
      </c>
    </row>
    <row r="649" spans="1:11" x14ac:dyDescent="0.2">
      <c r="A649" s="70">
        <v>44678</v>
      </c>
      <c r="B649" s="57">
        <v>2089</v>
      </c>
      <c r="C649" s="57" t="s">
        <v>176</v>
      </c>
      <c r="D649" s="57" t="s">
        <v>177</v>
      </c>
      <c r="E649" s="57" t="s">
        <v>175</v>
      </c>
      <c r="F649" s="57">
        <f t="shared" si="16"/>
        <v>0</v>
      </c>
      <c r="G649" s="57">
        <v>0</v>
      </c>
      <c r="H649" s="57">
        <v>0.10199999999999999</v>
      </c>
      <c r="I649" s="57">
        <v>4.07E-2</v>
      </c>
      <c r="J649" s="33">
        <f t="shared" si="14"/>
        <v>0.10199999999999999</v>
      </c>
      <c r="K649" s="33">
        <f t="shared" si="15"/>
        <v>4.07E-2</v>
      </c>
    </row>
    <row r="650" spans="1:11" x14ac:dyDescent="0.2">
      <c r="A650" s="70">
        <v>44678</v>
      </c>
      <c r="B650" s="57">
        <v>2092</v>
      </c>
      <c r="C650" s="57" t="s">
        <v>176</v>
      </c>
      <c r="D650" s="57" t="s">
        <v>177</v>
      </c>
      <c r="E650" s="57" t="s">
        <v>175</v>
      </c>
      <c r="F650" s="57">
        <f t="shared" si="16"/>
        <v>0</v>
      </c>
      <c r="G650" s="57">
        <v>0</v>
      </c>
      <c r="H650" s="57">
        <v>0.1469</v>
      </c>
      <c r="I650" s="57">
        <v>6.6199999999999995E-2</v>
      </c>
      <c r="J650" s="33">
        <f t="shared" si="14"/>
        <v>0.1469</v>
      </c>
      <c r="K650" s="33">
        <f t="shared" si="15"/>
        <v>6.6199999999999995E-2</v>
      </c>
    </row>
    <row r="651" spans="1:11" x14ac:dyDescent="0.2">
      <c r="A651" s="70">
        <v>44678</v>
      </c>
      <c r="B651" s="57">
        <v>2091</v>
      </c>
      <c r="C651" s="57" t="s">
        <v>176</v>
      </c>
      <c r="D651" s="57" t="s">
        <v>174</v>
      </c>
      <c r="E651" s="57" t="s">
        <v>178</v>
      </c>
      <c r="F651" s="57">
        <f t="shared" si="16"/>
        <v>1</v>
      </c>
      <c r="G651" s="57">
        <v>0</v>
      </c>
      <c r="H651" s="57">
        <v>4.1040000000000001</v>
      </c>
      <c r="I651" s="57">
        <v>2.5089999999999999</v>
      </c>
      <c r="J651" s="33">
        <f t="shared" si="14"/>
        <v>4.1040000000000001</v>
      </c>
      <c r="K651" s="33">
        <f t="shared" si="15"/>
        <v>2.5089999999999999</v>
      </c>
    </row>
    <row r="652" spans="1:11" x14ac:dyDescent="0.2">
      <c r="A652" s="70">
        <v>44678</v>
      </c>
      <c r="B652" s="57">
        <v>2022</v>
      </c>
      <c r="C652" s="57" t="s">
        <v>176</v>
      </c>
      <c r="D652" s="57" t="s">
        <v>177</v>
      </c>
      <c r="E652" s="57" t="s">
        <v>175</v>
      </c>
      <c r="F652" s="57">
        <f t="shared" si="16"/>
        <v>0</v>
      </c>
      <c r="G652" s="57">
        <v>0</v>
      </c>
      <c r="H652" s="57">
        <v>0.18</v>
      </c>
      <c r="I652" s="57">
        <v>9.5899999999999999E-2</v>
      </c>
      <c r="J652" s="33">
        <f t="shared" si="14"/>
        <v>0.18</v>
      </c>
      <c r="K652" s="33">
        <f t="shared" si="15"/>
        <v>9.5899999999999999E-2</v>
      </c>
    </row>
    <row r="653" spans="1:11" x14ac:dyDescent="0.2">
      <c r="A653" s="70">
        <v>44678</v>
      </c>
      <c r="B653" s="57">
        <v>2027</v>
      </c>
      <c r="C653" s="57" t="s">
        <v>176</v>
      </c>
      <c r="D653" s="57" t="s">
        <v>177</v>
      </c>
      <c r="E653" s="57" t="s">
        <v>175</v>
      </c>
      <c r="F653" s="57">
        <f t="shared" si="16"/>
        <v>0</v>
      </c>
      <c r="G653" s="57">
        <v>0</v>
      </c>
      <c r="H653" s="57">
        <v>0.154</v>
      </c>
      <c r="I653" s="57">
        <v>8.0799999999999997E-2</v>
      </c>
      <c r="J653" s="33">
        <f t="shared" si="14"/>
        <v>0.154</v>
      </c>
      <c r="K653" s="33">
        <f t="shared" si="15"/>
        <v>8.0799999999999997E-2</v>
      </c>
    </row>
    <row r="654" spans="1:11" x14ac:dyDescent="0.2">
      <c r="A654" s="70">
        <v>44678</v>
      </c>
      <c r="B654" s="57">
        <v>2022</v>
      </c>
      <c r="C654" s="57" t="s">
        <v>176</v>
      </c>
      <c r="D654" s="57" t="s">
        <v>174</v>
      </c>
      <c r="E654" s="57" t="s">
        <v>175</v>
      </c>
      <c r="F654" s="57">
        <f t="shared" si="16"/>
        <v>1</v>
      </c>
      <c r="G654" s="57">
        <v>0</v>
      </c>
      <c r="H654" s="57">
        <v>1.2030000000000001</v>
      </c>
      <c r="I654" s="57">
        <v>0.72009999999999996</v>
      </c>
      <c r="J654" s="33">
        <f t="shared" si="14"/>
        <v>1.2030000000000001</v>
      </c>
      <c r="K654" s="33">
        <f t="shared" si="15"/>
        <v>0.72009999999999996</v>
      </c>
    </row>
    <row r="655" spans="1:11" x14ac:dyDescent="0.2">
      <c r="A655" s="70">
        <v>44678</v>
      </c>
      <c r="B655" s="57">
        <v>2005</v>
      </c>
      <c r="C655" s="57" t="s">
        <v>176</v>
      </c>
      <c r="D655" s="57" t="s">
        <v>177</v>
      </c>
      <c r="E655" s="57" t="s">
        <v>178</v>
      </c>
      <c r="F655" s="57">
        <f t="shared" si="16"/>
        <v>0</v>
      </c>
      <c r="G655" s="57">
        <v>0</v>
      </c>
      <c r="H655" s="57">
        <v>8.86</v>
      </c>
      <c r="I655" s="57">
        <v>4.798</v>
      </c>
      <c r="J655" s="33">
        <f t="shared" si="14"/>
        <v>8.86</v>
      </c>
      <c r="K655" s="33">
        <f t="shared" si="15"/>
        <v>4.798</v>
      </c>
    </row>
    <row r="656" spans="1:11" x14ac:dyDescent="0.2">
      <c r="A656" s="70">
        <v>44678</v>
      </c>
      <c r="B656" s="57">
        <v>2025</v>
      </c>
      <c r="C656" s="57" t="s">
        <v>176</v>
      </c>
      <c r="D656" s="57" t="s">
        <v>177</v>
      </c>
      <c r="E656" s="57" t="s">
        <v>178</v>
      </c>
      <c r="F656" s="57">
        <f t="shared" si="16"/>
        <v>0</v>
      </c>
      <c r="G656" s="57">
        <v>0</v>
      </c>
      <c r="H656" s="57">
        <v>5.77</v>
      </c>
      <c r="I656" s="57">
        <v>3.0750999999999999</v>
      </c>
      <c r="J656" s="33">
        <f t="shared" si="14"/>
        <v>5.77</v>
      </c>
      <c r="K656" s="33">
        <f t="shared" si="15"/>
        <v>3.0750999999999999</v>
      </c>
    </row>
    <row r="657" spans="1:11" x14ac:dyDescent="0.2">
      <c r="A657" s="70">
        <v>44678</v>
      </c>
      <c r="B657" s="57">
        <v>2029</v>
      </c>
      <c r="C657" s="57" t="s">
        <v>176</v>
      </c>
      <c r="D657" s="57" t="s">
        <v>174</v>
      </c>
      <c r="E657" s="57" t="s">
        <v>178</v>
      </c>
      <c r="F657" s="57">
        <f t="shared" si="16"/>
        <v>1</v>
      </c>
      <c r="G657" s="57">
        <v>0</v>
      </c>
      <c r="H657" s="57">
        <v>4.0220000000000002</v>
      </c>
      <c r="I657" s="57">
        <v>2.5215999999999998</v>
      </c>
      <c r="J657" s="33">
        <f t="shared" si="14"/>
        <v>4.0220000000000002</v>
      </c>
      <c r="K657" s="33">
        <f t="shared" si="15"/>
        <v>2.5215999999999998</v>
      </c>
    </row>
    <row r="658" spans="1:11" x14ac:dyDescent="0.2">
      <c r="A658" s="70">
        <v>44678</v>
      </c>
      <c r="B658" s="57">
        <v>2021</v>
      </c>
      <c r="C658" s="57" t="s">
        <v>176</v>
      </c>
      <c r="D658" s="57" t="s">
        <v>177</v>
      </c>
      <c r="E658" s="57" t="s">
        <v>175</v>
      </c>
      <c r="F658" s="57">
        <f t="shared" si="16"/>
        <v>0</v>
      </c>
      <c r="G658" s="57">
        <v>0</v>
      </c>
      <c r="H658" s="57">
        <v>0.33</v>
      </c>
      <c r="I658" s="57">
        <v>0.17499999999999999</v>
      </c>
      <c r="J658" s="33">
        <f t="shared" si="14"/>
        <v>0.33</v>
      </c>
      <c r="K658" s="33">
        <f t="shared" si="15"/>
        <v>0.17499999999999999</v>
      </c>
    </row>
    <row r="659" spans="1:11" x14ac:dyDescent="0.2">
      <c r="A659" s="70">
        <v>44678</v>
      </c>
      <c r="B659" s="57">
        <v>2030</v>
      </c>
      <c r="C659" s="57" t="s">
        <v>176</v>
      </c>
      <c r="D659" s="57" t="s">
        <v>174</v>
      </c>
      <c r="E659" s="57" t="s">
        <v>175</v>
      </c>
      <c r="F659" s="57">
        <f t="shared" si="16"/>
        <v>1</v>
      </c>
      <c r="G659" s="57">
        <v>0</v>
      </c>
      <c r="H659" s="57">
        <v>0.98799999999999999</v>
      </c>
      <c r="I659" s="57">
        <v>0.58860000000000001</v>
      </c>
      <c r="J659" s="33">
        <f t="shared" si="14"/>
        <v>0.98799999999999999</v>
      </c>
      <c r="K659" s="33">
        <f t="shared" si="15"/>
        <v>0.58860000000000001</v>
      </c>
    </row>
    <row r="660" spans="1:11" x14ac:dyDescent="0.2">
      <c r="A660" s="70">
        <v>44678</v>
      </c>
      <c r="B660" s="57">
        <v>2006</v>
      </c>
      <c r="C660" s="57" t="s">
        <v>176</v>
      </c>
      <c r="D660" s="57" t="s">
        <v>177</v>
      </c>
      <c r="E660" s="57" t="s">
        <v>175</v>
      </c>
      <c r="F660" s="57">
        <f t="shared" si="16"/>
        <v>0</v>
      </c>
      <c r="G660" s="57">
        <v>0</v>
      </c>
      <c r="H660" s="57">
        <v>0.625</v>
      </c>
      <c r="I660" s="57">
        <v>0.3236</v>
      </c>
      <c r="J660" s="33">
        <f t="shared" si="14"/>
        <v>0.625</v>
      </c>
      <c r="K660" s="33">
        <f t="shared" si="15"/>
        <v>0.3236</v>
      </c>
    </row>
    <row r="661" spans="1:11" x14ac:dyDescent="0.2">
      <c r="A661" s="70">
        <v>44678</v>
      </c>
      <c r="B661" s="57">
        <v>2032</v>
      </c>
      <c r="C661" s="57" t="s">
        <v>176</v>
      </c>
      <c r="D661" s="57" t="s">
        <v>177</v>
      </c>
      <c r="E661" s="57" t="s">
        <v>178</v>
      </c>
      <c r="F661" s="57">
        <f t="shared" si="16"/>
        <v>0</v>
      </c>
      <c r="G661" s="57">
        <v>0</v>
      </c>
      <c r="H661" s="57">
        <v>5.6269999999999998</v>
      </c>
      <c r="I661" s="57">
        <v>3.1095999999999999</v>
      </c>
      <c r="J661" s="33">
        <f t="shared" si="14"/>
        <v>5.6269999999999998</v>
      </c>
      <c r="K661" s="33">
        <f t="shared" si="15"/>
        <v>3.1095999999999999</v>
      </c>
    </row>
    <row r="662" spans="1:11" x14ac:dyDescent="0.2">
      <c r="A662" s="70">
        <v>44678</v>
      </c>
      <c r="B662" s="57">
        <v>2024</v>
      </c>
      <c r="C662" s="57" t="s">
        <v>176</v>
      </c>
      <c r="D662" s="57" t="s">
        <v>177</v>
      </c>
      <c r="E662" s="57" t="s">
        <v>175</v>
      </c>
      <c r="F662" s="57">
        <f t="shared" si="16"/>
        <v>0</v>
      </c>
      <c r="G662" s="57">
        <v>0</v>
      </c>
      <c r="H662" s="57">
        <v>0.61199999999999999</v>
      </c>
      <c r="I662" s="57">
        <v>0.3201</v>
      </c>
      <c r="J662" s="33">
        <f t="shared" si="14"/>
        <v>0.61199999999999999</v>
      </c>
      <c r="K662" s="33">
        <f t="shared" si="15"/>
        <v>0.3201</v>
      </c>
    </row>
    <row r="663" spans="1:11" x14ac:dyDescent="0.2">
      <c r="A663" s="70">
        <v>44678</v>
      </c>
      <c r="B663" s="57">
        <v>2027</v>
      </c>
      <c r="C663" s="57" t="s">
        <v>176</v>
      </c>
      <c r="D663" s="57" t="s">
        <v>177</v>
      </c>
      <c r="E663" s="57" t="s">
        <v>178</v>
      </c>
      <c r="F663" s="57">
        <f t="shared" si="16"/>
        <v>0</v>
      </c>
      <c r="G663" s="57">
        <v>0</v>
      </c>
      <c r="H663" s="57">
        <v>3.4670000000000001</v>
      </c>
      <c r="I663" s="57">
        <v>1.931</v>
      </c>
      <c r="J663" s="33">
        <f t="shared" si="14"/>
        <v>3.4670000000000001</v>
      </c>
      <c r="K663" s="33">
        <f t="shared" si="15"/>
        <v>1.931</v>
      </c>
    </row>
    <row r="664" spans="1:11" x14ac:dyDescent="0.2">
      <c r="A664" s="70">
        <v>44678</v>
      </c>
      <c r="B664" s="57">
        <v>2022</v>
      </c>
      <c r="C664" s="57" t="s">
        <v>176</v>
      </c>
      <c r="D664" s="57" t="s">
        <v>174</v>
      </c>
      <c r="E664" s="57" t="s">
        <v>178</v>
      </c>
      <c r="F664" s="57">
        <f t="shared" si="16"/>
        <v>1</v>
      </c>
      <c r="G664" s="57">
        <v>0</v>
      </c>
      <c r="H664" s="57">
        <v>2.1890000000000001</v>
      </c>
      <c r="I664" s="57">
        <v>1.381</v>
      </c>
      <c r="J664" s="33">
        <f t="shared" si="14"/>
        <v>2.1890000000000001</v>
      </c>
      <c r="K664" s="33">
        <f t="shared" si="15"/>
        <v>1.381</v>
      </c>
    </row>
    <row r="665" spans="1:11" x14ac:dyDescent="0.2">
      <c r="A665" s="70">
        <v>44678</v>
      </c>
      <c r="B665" s="57">
        <v>2030</v>
      </c>
      <c r="C665" s="57" t="s">
        <v>176</v>
      </c>
      <c r="D665" s="57" t="s">
        <v>174</v>
      </c>
      <c r="E665" s="57" t="s">
        <v>178</v>
      </c>
      <c r="F665" s="57">
        <f t="shared" si="16"/>
        <v>1</v>
      </c>
      <c r="G665" s="57">
        <v>0</v>
      </c>
      <c r="H665" s="57">
        <v>4.0229999999999997</v>
      </c>
      <c r="I665" s="57">
        <v>2.4565999999999999</v>
      </c>
      <c r="J665" s="33">
        <f t="shared" si="14"/>
        <v>4.0229999999999997</v>
      </c>
      <c r="K665" s="33">
        <f t="shared" si="15"/>
        <v>2.4565999999999999</v>
      </c>
    </row>
    <row r="666" spans="1:11" x14ac:dyDescent="0.2">
      <c r="A666" s="70">
        <v>44678</v>
      </c>
      <c r="B666" s="57">
        <v>2028</v>
      </c>
      <c r="C666" s="57" t="s">
        <v>176</v>
      </c>
      <c r="D666" s="57" t="s">
        <v>177</v>
      </c>
      <c r="E666" s="57" t="s">
        <v>178</v>
      </c>
      <c r="F666" s="57">
        <f t="shared" si="16"/>
        <v>0</v>
      </c>
      <c r="G666" s="57">
        <v>0</v>
      </c>
      <c r="H666" s="57">
        <v>5.5149999999999997</v>
      </c>
      <c r="I666" s="57">
        <v>3.1819999999999999</v>
      </c>
      <c r="J666" s="33">
        <f t="shared" si="14"/>
        <v>5.5149999999999997</v>
      </c>
      <c r="K666" s="33">
        <f t="shared" si="15"/>
        <v>3.1819999999999999</v>
      </c>
    </row>
    <row r="667" spans="1:11" x14ac:dyDescent="0.2">
      <c r="A667" s="70">
        <v>44678</v>
      </c>
      <c r="B667" s="57">
        <v>2012</v>
      </c>
      <c r="C667" s="57" t="s">
        <v>176</v>
      </c>
      <c r="D667" s="57" t="s">
        <v>174</v>
      </c>
      <c r="E667" s="57" t="s">
        <v>175</v>
      </c>
      <c r="F667" s="57">
        <f t="shared" si="16"/>
        <v>1</v>
      </c>
      <c r="G667" s="57">
        <v>0</v>
      </c>
      <c r="H667" s="57">
        <v>1.73</v>
      </c>
      <c r="I667" s="57">
        <v>1.0169999999999999</v>
      </c>
      <c r="J667" s="33">
        <f t="shared" si="14"/>
        <v>1.73</v>
      </c>
      <c r="K667" s="33">
        <f t="shared" si="15"/>
        <v>1.0169999999999999</v>
      </c>
    </row>
    <row r="668" spans="1:11" x14ac:dyDescent="0.2">
      <c r="A668" s="70">
        <v>44678</v>
      </c>
      <c r="B668" s="57">
        <v>2015</v>
      </c>
      <c r="C668" s="57" t="s">
        <v>176</v>
      </c>
      <c r="D668" s="57" t="s">
        <v>177</v>
      </c>
      <c r="E668" s="57" t="s">
        <v>178</v>
      </c>
      <c r="F668" s="57">
        <f t="shared" si="16"/>
        <v>0</v>
      </c>
      <c r="G668" s="57">
        <v>0</v>
      </c>
      <c r="H668" s="57">
        <v>5.76</v>
      </c>
      <c r="I668" s="57">
        <v>3.137</v>
      </c>
      <c r="J668" s="33">
        <f t="shared" si="14"/>
        <v>5.76</v>
      </c>
      <c r="K668" s="33">
        <f t="shared" si="15"/>
        <v>3.137</v>
      </c>
    </row>
    <row r="669" spans="1:11" x14ac:dyDescent="0.2">
      <c r="A669" s="70">
        <v>44678</v>
      </c>
      <c r="B669" s="57">
        <v>2026</v>
      </c>
      <c r="C669" s="57" t="s">
        <v>176</v>
      </c>
      <c r="D669" s="57" t="s">
        <v>177</v>
      </c>
      <c r="E669" s="57" t="s">
        <v>178</v>
      </c>
      <c r="F669" s="57">
        <f t="shared" si="16"/>
        <v>0</v>
      </c>
      <c r="G669" s="57">
        <v>0</v>
      </c>
      <c r="H669" s="57">
        <v>4.8869999999999996</v>
      </c>
      <c r="I669" s="57">
        <v>2.718</v>
      </c>
      <c r="J669" s="33">
        <f t="shared" si="14"/>
        <v>4.8869999999999996</v>
      </c>
      <c r="K669" s="33">
        <f t="shared" si="15"/>
        <v>2.718</v>
      </c>
    </row>
    <row r="670" spans="1:11" x14ac:dyDescent="0.2">
      <c r="A670" s="70">
        <v>44678</v>
      </c>
      <c r="B670" s="57">
        <v>2022</v>
      </c>
      <c r="C670" s="57" t="s">
        <v>176</v>
      </c>
      <c r="D670" s="57" t="s">
        <v>177</v>
      </c>
      <c r="E670" s="57" t="s">
        <v>178</v>
      </c>
      <c r="F670" s="57">
        <f t="shared" si="16"/>
        <v>0</v>
      </c>
      <c r="G670" s="57">
        <v>0</v>
      </c>
      <c r="H670" s="57">
        <v>3.6179999999999999</v>
      </c>
      <c r="I670" s="57">
        <v>2.0379999999999998</v>
      </c>
      <c r="J670" s="33">
        <f t="shared" si="14"/>
        <v>3.6179999999999999</v>
      </c>
      <c r="K670" s="33">
        <f t="shared" si="15"/>
        <v>2.0379999999999998</v>
      </c>
    </row>
    <row r="671" spans="1:11" x14ac:dyDescent="0.2">
      <c r="A671" s="70">
        <v>44678</v>
      </c>
      <c r="B671" s="57">
        <v>2087</v>
      </c>
      <c r="C671" s="57" t="s">
        <v>176</v>
      </c>
      <c r="D671" s="57" t="s">
        <v>177</v>
      </c>
      <c r="E671" s="57" t="s">
        <v>178</v>
      </c>
      <c r="F671" s="57">
        <f t="shared" si="16"/>
        <v>0</v>
      </c>
      <c r="G671" s="57">
        <v>0</v>
      </c>
      <c r="H671" s="57">
        <v>8.2302999999999997</v>
      </c>
      <c r="I671" s="57">
        <v>4.1843000000000004</v>
      </c>
      <c r="J671" s="33">
        <f t="shared" si="14"/>
        <v>8.2302999999999997</v>
      </c>
      <c r="K671" s="33">
        <f t="shared" si="15"/>
        <v>4.1843000000000004</v>
      </c>
    </row>
    <row r="672" spans="1:11" x14ac:dyDescent="0.2">
      <c r="A672" s="70">
        <v>44678</v>
      </c>
      <c r="B672" s="57">
        <v>2021</v>
      </c>
      <c r="C672" s="57" t="s">
        <v>176</v>
      </c>
      <c r="D672" s="57" t="s">
        <v>177</v>
      </c>
      <c r="E672" s="57" t="s">
        <v>178</v>
      </c>
      <c r="F672" s="57">
        <f t="shared" si="16"/>
        <v>0</v>
      </c>
      <c r="G672" s="57">
        <v>0</v>
      </c>
      <c r="H672" s="57">
        <v>4.7560000000000002</v>
      </c>
      <c r="I672" s="57">
        <v>2.6147</v>
      </c>
      <c r="J672" s="33">
        <f t="shared" si="14"/>
        <v>4.7560000000000002</v>
      </c>
      <c r="K672" s="33">
        <f t="shared" si="15"/>
        <v>2.6147</v>
      </c>
    </row>
    <row r="673" spans="1:11" x14ac:dyDescent="0.2">
      <c r="A673" s="70">
        <v>44678</v>
      </c>
      <c r="B673" s="57">
        <v>2032</v>
      </c>
      <c r="C673" s="57" t="s">
        <v>176</v>
      </c>
      <c r="D673" s="57" t="s">
        <v>177</v>
      </c>
      <c r="E673" s="57" t="s">
        <v>175</v>
      </c>
      <c r="F673" s="57">
        <f t="shared" si="16"/>
        <v>0</v>
      </c>
      <c r="G673" s="57">
        <v>0</v>
      </c>
      <c r="H673" s="57">
        <v>0.52900000000000003</v>
      </c>
      <c r="I673" s="57">
        <v>0.27729999999999999</v>
      </c>
      <c r="J673" s="33">
        <f t="shared" si="14"/>
        <v>0.52900000000000003</v>
      </c>
      <c r="K673" s="33">
        <f t="shared" si="15"/>
        <v>0.27729999999999999</v>
      </c>
    </row>
    <row r="674" spans="1:11" x14ac:dyDescent="0.2">
      <c r="A674" s="70">
        <v>44678</v>
      </c>
      <c r="B674" s="57">
        <v>2023</v>
      </c>
      <c r="C674" s="57" t="s">
        <v>176</v>
      </c>
      <c r="D674" s="57" t="s">
        <v>177</v>
      </c>
      <c r="E674" s="57" t="s">
        <v>175</v>
      </c>
      <c r="F674" s="57">
        <f t="shared" si="16"/>
        <v>0</v>
      </c>
      <c r="G674" s="57">
        <v>0</v>
      </c>
      <c r="H674" s="57">
        <v>0.68100000000000005</v>
      </c>
      <c r="I674" s="57">
        <v>0.37419999999999998</v>
      </c>
      <c r="J674" s="33">
        <f t="shared" si="14"/>
        <v>0.68100000000000005</v>
      </c>
      <c r="K674" s="33">
        <f t="shared" si="15"/>
        <v>0.37419999999999998</v>
      </c>
    </row>
    <row r="675" spans="1:11" x14ac:dyDescent="0.2">
      <c r="A675" s="70">
        <v>44678</v>
      </c>
      <c r="B675" s="57">
        <v>2023</v>
      </c>
      <c r="C675" s="57" t="s">
        <v>176</v>
      </c>
      <c r="D675" s="57" t="s">
        <v>174</v>
      </c>
      <c r="E675" s="57" t="s">
        <v>178</v>
      </c>
      <c r="F675" s="57">
        <f t="shared" si="16"/>
        <v>1</v>
      </c>
      <c r="G675" s="57">
        <v>0</v>
      </c>
      <c r="H675" s="57">
        <v>3.1280000000000001</v>
      </c>
      <c r="I675" s="57">
        <v>1.8907</v>
      </c>
      <c r="J675" s="33">
        <f t="shared" si="14"/>
        <v>3.1280000000000001</v>
      </c>
      <c r="K675" s="33">
        <f t="shared" si="15"/>
        <v>1.8907</v>
      </c>
    </row>
    <row r="676" spans="1:11" x14ac:dyDescent="0.2">
      <c r="A676" s="70">
        <v>44678</v>
      </c>
      <c r="B676" s="57">
        <v>2089</v>
      </c>
      <c r="C676" s="57" t="s">
        <v>176</v>
      </c>
      <c r="D676" s="57" t="s">
        <v>177</v>
      </c>
      <c r="E676" s="57" t="s">
        <v>178</v>
      </c>
      <c r="F676" s="57">
        <f t="shared" si="16"/>
        <v>0</v>
      </c>
      <c r="G676" s="57">
        <v>0</v>
      </c>
      <c r="H676" s="57">
        <v>1.3720000000000001</v>
      </c>
      <c r="I676" s="57">
        <v>0.50639999999999996</v>
      </c>
      <c r="J676" s="33">
        <f t="shared" si="14"/>
        <v>1.3720000000000001</v>
      </c>
      <c r="K676" s="33">
        <f t="shared" si="15"/>
        <v>0.50639999999999996</v>
      </c>
    </row>
    <row r="677" spans="1:11" x14ac:dyDescent="0.2">
      <c r="A677" s="70">
        <v>44678</v>
      </c>
      <c r="B677" s="57">
        <v>2024</v>
      </c>
      <c r="C677" s="57" t="s">
        <v>176</v>
      </c>
      <c r="D677" s="57" t="s">
        <v>177</v>
      </c>
      <c r="E677" s="57" t="s">
        <v>178</v>
      </c>
      <c r="F677" s="57">
        <f t="shared" si="16"/>
        <v>0</v>
      </c>
      <c r="G677" s="57">
        <v>0</v>
      </c>
      <c r="H677" s="57">
        <v>5.952</v>
      </c>
      <c r="I677" s="57">
        <v>3.1903999999999999</v>
      </c>
      <c r="J677" s="33">
        <f t="shared" si="14"/>
        <v>5.952</v>
      </c>
      <c r="K677" s="33">
        <f t="shared" si="15"/>
        <v>3.1903999999999999</v>
      </c>
    </row>
    <row r="678" spans="1:11" x14ac:dyDescent="0.2">
      <c r="A678" s="70">
        <v>44678</v>
      </c>
      <c r="B678" s="57">
        <v>2005</v>
      </c>
      <c r="C678" s="57" t="s">
        <v>176</v>
      </c>
      <c r="D678" s="57" t="s">
        <v>177</v>
      </c>
      <c r="E678" s="57" t="s">
        <v>175</v>
      </c>
      <c r="F678" s="57">
        <f t="shared" si="16"/>
        <v>0</v>
      </c>
      <c r="G678" s="57">
        <v>0</v>
      </c>
      <c r="H678" s="57">
        <v>0.63500000000000001</v>
      </c>
      <c r="I678" s="57">
        <v>0.34050000000000002</v>
      </c>
      <c r="J678" s="33">
        <f t="shared" si="14"/>
        <v>0.63500000000000001</v>
      </c>
      <c r="K678" s="33">
        <f t="shared" si="15"/>
        <v>0.34050000000000002</v>
      </c>
    </row>
    <row r="679" spans="1:11" x14ac:dyDescent="0.2">
      <c r="A679" s="70">
        <v>44678</v>
      </c>
      <c r="B679" s="57">
        <v>2093</v>
      </c>
      <c r="C679" s="57" t="s">
        <v>176</v>
      </c>
      <c r="D679" s="57" t="s">
        <v>174</v>
      </c>
      <c r="E679" s="57" t="s">
        <v>178</v>
      </c>
      <c r="F679" s="57">
        <f t="shared" si="16"/>
        <v>1</v>
      </c>
      <c r="G679" s="57">
        <v>0</v>
      </c>
      <c r="H679" s="57">
        <v>1.8246</v>
      </c>
      <c r="I679" s="57">
        <v>1.1341000000000001</v>
      </c>
      <c r="J679" s="33">
        <f t="shared" si="14"/>
        <v>1.8246</v>
      </c>
      <c r="K679" s="33">
        <f t="shared" si="15"/>
        <v>1.1341000000000001</v>
      </c>
    </row>
    <row r="680" spans="1:11" x14ac:dyDescent="0.2">
      <c r="A680" s="70">
        <v>44678</v>
      </c>
      <c r="B680" s="57">
        <v>2093</v>
      </c>
      <c r="C680" s="57" t="s">
        <v>176</v>
      </c>
      <c r="D680" s="57" t="s">
        <v>177</v>
      </c>
      <c r="E680" s="57" t="s">
        <v>175</v>
      </c>
      <c r="F680" s="57">
        <f t="shared" si="16"/>
        <v>0</v>
      </c>
      <c r="G680" s="57">
        <v>0</v>
      </c>
      <c r="H680" s="57">
        <v>0.67069999999999996</v>
      </c>
      <c r="I680" s="57">
        <v>0.28299999999999997</v>
      </c>
      <c r="J680" s="33">
        <f t="shared" si="14"/>
        <v>0.67069999999999996</v>
      </c>
      <c r="K680" s="33">
        <f t="shared" si="15"/>
        <v>0.28299999999999997</v>
      </c>
    </row>
    <row r="681" spans="1:11" x14ac:dyDescent="0.2">
      <c r="A681" s="70">
        <v>44678</v>
      </c>
      <c r="B681" s="57">
        <v>2015</v>
      </c>
      <c r="C681" s="57" t="s">
        <v>176</v>
      </c>
      <c r="D681" s="57" t="s">
        <v>177</v>
      </c>
      <c r="E681" s="57" t="s">
        <v>175</v>
      </c>
      <c r="F681" s="57">
        <f t="shared" si="16"/>
        <v>0</v>
      </c>
      <c r="G681" s="57">
        <v>0</v>
      </c>
      <c r="H681" s="57">
        <v>0.58899999999999997</v>
      </c>
      <c r="I681" s="57">
        <v>0.3044</v>
      </c>
      <c r="J681" s="33">
        <f t="shared" si="14"/>
        <v>0.58899999999999997</v>
      </c>
      <c r="K681" s="33">
        <f t="shared" si="15"/>
        <v>0.3044</v>
      </c>
    </row>
    <row r="682" spans="1:11" x14ac:dyDescent="0.2">
      <c r="A682" s="70">
        <v>44678</v>
      </c>
      <c r="B682" s="57">
        <v>1478</v>
      </c>
      <c r="C682" s="57" t="s">
        <v>176</v>
      </c>
      <c r="D682" s="57" t="s">
        <v>177</v>
      </c>
      <c r="E682" s="57" t="s">
        <v>178</v>
      </c>
      <c r="F682" s="57">
        <f t="shared" si="16"/>
        <v>0</v>
      </c>
      <c r="G682" s="57">
        <v>0</v>
      </c>
      <c r="H682" s="57">
        <v>7.06</v>
      </c>
      <c r="I682" s="57">
        <v>5.89</v>
      </c>
      <c r="J682" s="33">
        <f t="shared" si="14"/>
        <v>7.06</v>
      </c>
      <c r="K682" s="33">
        <f t="shared" si="15"/>
        <v>5.89</v>
      </c>
    </row>
    <row r="683" spans="1:11" x14ac:dyDescent="0.2">
      <c r="A683" s="70">
        <v>44678</v>
      </c>
      <c r="B683" s="57">
        <v>2012</v>
      </c>
      <c r="C683" s="57" t="s">
        <v>176</v>
      </c>
      <c r="D683" s="57" t="s">
        <v>177</v>
      </c>
      <c r="E683" s="57" t="s">
        <v>178</v>
      </c>
      <c r="F683" s="57">
        <f t="shared" si="16"/>
        <v>0</v>
      </c>
      <c r="G683" s="57">
        <v>0</v>
      </c>
      <c r="H683" s="57">
        <v>5.07</v>
      </c>
      <c r="I683" s="57">
        <v>2.7726000000000002</v>
      </c>
      <c r="J683" s="33">
        <f t="shared" si="14"/>
        <v>5.07</v>
      </c>
      <c r="K683" s="33">
        <f t="shared" si="15"/>
        <v>2.7726000000000002</v>
      </c>
    </row>
    <row r="684" spans="1:11" x14ac:dyDescent="0.2">
      <c r="A684" s="70">
        <v>44678</v>
      </c>
      <c r="B684" s="57">
        <v>2013</v>
      </c>
      <c r="C684" s="57" t="s">
        <v>176</v>
      </c>
      <c r="D684" s="57" t="s">
        <v>174</v>
      </c>
      <c r="E684" s="57" t="s">
        <v>175</v>
      </c>
      <c r="F684" s="57">
        <f t="shared" si="16"/>
        <v>1</v>
      </c>
      <c r="G684" s="57">
        <v>0</v>
      </c>
      <c r="H684" s="57">
        <v>1.1200000000000001</v>
      </c>
      <c r="I684" s="57">
        <v>0.60270000000000001</v>
      </c>
      <c r="J684" s="33">
        <f t="shared" si="14"/>
        <v>1.1200000000000001</v>
      </c>
      <c r="K684" s="33">
        <f t="shared" si="15"/>
        <v>0.60270000000000001</v>
      </c>
    </row>
    <row r="685" spans="1:11" x14ac:dyDescent="0.2">
      <c r="A685" s="70">
        <v>44678</v>
      </c>
      <c r="B685" s="57">
        <v>2015</v>
      </c>
      <c r="C685" s="57" t="s">
        <v>176</v>
      </c>
      <c r="D685" s="57" t="s">
        <v>174</v>
      </c>
      <c r="E685" s="57" t="s">
        <v>175</v>
      </c>
      <c r="F685" s="57">
        <f t="shared" si="16"/>
        <v>1</v>
      </c>
      <c r="G685" s="57">
        <v>0</v>
      </c>
      <c r="H685" s="57">
        <v>1.79</v>
      </c>
      <c r="I685" s="57">
        <v>1.0174000000000001</v>
      </c>
      <c r="J685" s="33">
        <f t="shared" si="14"/>
        <v>1.79</v>
      </c>
      <c r="K685" s="33">
        <f t="shared" si="15"/>
        <v>1.0174000000000001</v>
      </c>
    </row>
    <row r="686" spans="1:11" x14ac:dyDescent="0.2">
      <c r="A686" s="70">
        <v>44678</v>
      </c>
      <c r="B686" s="57">
        <v>2007</v>
      </c>
      <c r="C686" s="57" t="s">
        <v>176</v>
      </c>
      <c r="D686" s="57" t="s">
        <v>177</v>
      </c>
      <c r="E686" s="57" t="s">
        <v>178</v>
      </c>
      <c r="F686" s="57">
        <f t="shared" si="16"/>
        <v>0</v>
      </c>
      <c r="G686" s="57">
        <v>0</v>
      </c>
      <c r="H686" s="57">
        <v>7.68</v>
      </c>
      <c r="I686" s="57">
        <v>4.2926000000000002</v>
      </c>
      <c r="J686" s="33">
        <f t="shared" si="14"/>
        <v>7.68</v>
      </c>
      <c r="K686" s="33">
        <f t="shared" si="15"/>
        <v>4.2926000000000002</v>
      </c>
    </row>
    <row r="687" spans="1:11" x14ac:dyDescent="0.2">
      <c r="A687" s="70">
        <v>44678</v>
      </c>
      <c r="B687" s="57">
        <v>2005</v>
      </c>
      <c r="C687" s="57" t="s">
        <v>176</v>
      </c>
      <c r="D687" s="57" t="s">
        <v>177</v>
      </c>
      <c r="E687" s="57" t="s">
        <v>178</v>
      </c>
      <c r="F687" s="57">
        <f t="shared" si="16"/>
        <v>0</v>
      </c>
      <c r="G687" s="57">
        <v>0</v>
      </c>
      <c r="H687" s="57">
        <v>2.25</v>
      </c>
      <c r="I687" s="57">
        <v>1.3069999999999999</v>
      </c>
      <c r="J687" s="33">
        <f t="shared" si="14"/>
        <v>2.25</v>
      </c>
      <c r="K687" s="33">
        <f t="shared" si="15"/>
        <v>1.3069999999999999</v>
      </c>
    </row>
    <row r="688" spans="1:11" x14ac:dyDescent="0.2">
      <c r="A688" s="70">
        <v>44678</v>
      </c>
      <c r="B688" s="57">
        <v>2013</v>
      </c>
      <c r="C688" s="57" t="s">
        <v>176</v>
      </c>
      <c r="D688" s="57" t="s">
        <v>177</v>
      </c>
      <c r="E688" s="57" t="s">
        <v>175</v>
      </c>
      <c r="F688" s="57">
        <f t="shared" si="16"/>
        <v>0</v>
      </c>
      <c r="G688" s="57">
        <v>0</v>
      </c>
      <c r="H688" s="57">
        <v>0.86599999999999999</v>
      </c>
      <c r="I688" s="57">
        <v>0.40820000000000001</v>
      </c>
      <c r="J688" s="33">
        <f t="shared" si="14"/>
        <v>0.86599999999999999</v>
      </c>
      <c r="K688" s="33">
        <f t="shared" si="15"/>
        <v>0.40820000000000001</v>
      </c>
    </row>
    <row r="689" spans="1:11" x14ac:dyDescent="0.2">
      <c r="A689" s="70">
        <v>44678</v>
      </c>
      <c r="B689" s="57">
        <v>2007</v>
      </c>
      <c r="C689" s="57" t="s">
        <v>176</v>
      </c>
      <c r="D689" s="57" t="s">
        <v>177</v>
      </c>
      <c r="E689" s="57" t="s">
        <v>175</v>
      </c>
      <c r="F689" s="57">
        <f t="shared" si="16"/>
        <v>0</v>
      </c>
      <c r="G689" s="57">
        <v>0</v>
      </c>
      <c r="H689" s="57">
        <v>0.79700000000000004</v>
      </c>
      <c r="I689" s="57">
        <v>0.42430000000000001</v>
      </c>
      <c r="J689" s="33">
        <f t="shared" si="14"/>
        <v>0.79700000000000004</v>
      </c>
      <c r="K689" s="33">
        <f t="shared" si="15"/>
        <v>0.42430000000000001</v>
      </c>
    </row>
    <row r="690" spans="1:11" x14ac:dyDescent="0.2">
      <c r="A690" s="70">
        <v>44678</v>
      </c>
      <c r="B690" s="57">
        <v>2012</v>
      </c>
      <c r="C690" s="57" t="s">
        <v>176</v>
      </c>
      <c r="D690" s="57" t="s">
        <v>177</v>
      </c>
      <c r="E690" s="57" t="s">
        <v>175</v>
      </c>
      <c r="F690" s="57">
        <f t="shared" si="16"/>
        <v>0</v>
      </c>
      <c r="G690" s="57">
        <v>0</v>
      </c>
      <c r="H690" s="57">
        <v>0.442</v>
      </c>
      <c r="I690" s="57">
        <v>0.2316</v>
      </c>
      <c r="J690" s="33">
        <f t="shared" si="14"/>
        <v>0.442</v>
      </c>
      <c r="K690" s="33">
        <f t="shared" si="15"/>
        <v>0.2316</v>
      </c>
    </row>
    <row r="691" spans="1:11" x14ac:dyDescent="0.2">
      <c r="A691" s="70">
        <v>44678</v>
      </c>
      <c r="B691" s="57">
        <v>1478</v>
      </c>
      <c r="C691" s="57" t="s">
        <v>176</v>
      </c>
      <c r="D691" s="57" t="s">
        <v>177</v>
      </c>
      <c r="E691" s="57" t="s">
        <v>175</v>
      </c>
      <c r="F691" s="57">
        <f t="shared" si="16"/>
        <v>0</v>
      </c>
      <c r="G691" s="57">
        <v>0</v>
      </c>
      <c r="H691" s="57">
        <v>1.1299999999999999</v>
      </c>
      <c r="I691" s="57">
        <v>0.53869999999999996</v>
      </c>
      <c r="J691" s="33">
        <f t="shared" si="14"/>
        <v>1.1299999999999999</v>
      </c>
      <c r="K691" s="33">
        <f t="shared" si="15"/>
        <v>0.53869999999999996</v>
      </c>
    </row>
    <row r="692" spans="1:11" x14ac:dyDescent="0.2">
      <c r="A692" s="70">
        <v>44678</v>
      </c>
      <c r="B692" s="57">
        <v>2007</v>
      </c>
      <c r="C692" s="57" t="s">
        <v>176</v>
      </c>
      <c r="D692" s="57" t="s">
        <v>174</v>
      </c>
      <c r="E692" s="57" t="s">
        <v>175</v>
      </c>
      <c r="F692" s="57">
        <f t="shared" si="16"/>
        <v>1</v>
      </c>
      <c r="G692" s="57">
        <v>0</v>
      </c>
      <c r="H692" s="57">
        <v>2.214</v>
      </c>
      <c r="I692" s="57">
        <v>1.3092999999999999</v>
      </c>
      <c r="J692" s="33">
        <f t="shared" si="14"/>
        <v>2.214</v>
      </c>
      <c r="K692" s="33">
        <f t="shared" si="15"/>
        <v>1.3092999999999999</v>
      </c>
    </row>
    <row r="693" spans="1:11" x14ac:dyDescent="0.2">
      <c r="A693" s="70">
        <v>44678</v>
      </c>
      <c r="B693" s="57">
        <v>1478</v>
      </c>
      <c r="C693" s="57" t="s">
        <v>176</v>
      </c>
      <c r="D693" s="57" t="s">
        <v>174</v>
      </c>
      <c r="E693" s="57" t="s">
        <v>175</v>
      </c>
      <c r="F693" s="57">
        <f t="shared" si="16"/>
        <v>1</v>
      </c>
      <c r="G693" s="57">
        <v>0</v>
      </c>
      <c r="H693" s="57">
        <v>2.1</v>
      </c>
      <c r="I693" s="57">
        <v>1.1228</v>
      </c>
      <c r="J693" s="33">
        <f t="shared" si="14"/>
        <v>2.1</v>
      </c>
      <c r="K693" s="33">
        <f t="shared" si="15"/>
        <v>1.1228</v>
      </c>
    </row>
    <row r="694" spans="1:11" x14ac:dyDescent="0.2">
      <c r="A694" s="70">
        <v>44678</v>
      </c>
      <c r="B694" s="57">
        <v>2093</v>
      </c>
      <c r="C694" s="57" t="s">
        <v>176</v>
      </c>
      <c r="D694" s="57" t="s">
        <v>174</v>
      </c>
      <c r="E694" s="57" t="s">
        <v>175</v>
      </c>
      <c r="F694" s="57">
        <f t="shared" si="16"/>
        <v>1</v>
      </c>
      <c r="G694" s="57">
        <v>0</v>
      </c>
      <c r="H694" s="57">
        <v>0.93820000000000003</v>
      </c>
      <c r="I694" s="57">
        <v>0.3337</v>
      </c>
      <c r="J694" s="33">
        <f t="shared" si="14"/>
        <v>0.93820000000000003</v>
      </c>
      <c r="K694" s="33">
        <f t="shared" si="15"/>
        <v>0.3337</v>
      </c>
    </row>
    <row r="695" spans="1:11" x14ac:dyDescent="0.2">
      <c r="A695" s="70">
        <v>44678</v>
      </c>
      <c r="B695" s="57">
        <v>2013</v>
      </c>
      <c r="C695" s="57" t="s">
        <v>176</v>
      </c>
      <c r="D695" s="57" t="s">
        <v>177</v>
      </c>
      <c r="E695" s="57" t="s">
        <v>178</v>
      </c>
      <c r="F695" s="57">
        <f t="shared" si="16"/>
        <v>0</v>
      </c>
      <c r="G695" s="57">
        <v>0</v>
      </c>
      <c r="H695" s="57">
        <v>5.68</v>
      </c>
      <c r="I695" s="57">
        <v>2.8730000000000002</v>
      </c>
      <c r="J695" s="33">
        <f t="shared" si="14"/>
        <v>5.68</v>
      </c>
      <c r="K695" s="33">
        <f t="shared" si="15"/>
        <v>2.8730000000000002</v>
      </c>
    </row>
    <row r="696" spans="1:11" x14ac:dyDescent="0.2">
      <c r="A696" s="70">
        <v>44678</v>
      </c>
      <c r="B696" s="57">
        <v>2004</v>
      </c>
      <c r="C696" s="57" t="s">
        <v>176</v>
      </c>
      <c r="D696" s="57" t="s">
        <v>174</v>
      </c>
      <c r="E696" s="57" t="s">
        <v>175</v>
      </c>
      <c r="F696" s="57">
        <f t="shared" si="16"/>
        <v>1</v>
      </c>
      <c r="G696" s="57">
        <v>0</v>
      </c>
      <c r="H696" s="57">
        <v>2.0520999999999998</v>
      </c>
      <c r="I696" s="57">
        <v>1.1672</v>
      </c>
      <c r="J696" s="33">
        <f t="shared" si="14"/>
        <v>2.0520999999999998</v>
      </c>
      <c r="K696" s="33">
        <f t="shared" si="15"/>
        <v>1.1672</v>
      </c>
    </row>
    <row r="697" spans="1:11" x14ac:dyDescent="0.2">
      <c r="A697" s="70">
        <v>44678</v>
      </c>
      <c r="B697" s="57">
        <v>2023</v>
      </c>
      <c r="C697" s="57" t="s">
        <v>176</v>
      </c>
      <c r="D697" s="57" t="s">
        <v>174</v>
      </c>
      <c r="E697" s="57" t="s">
        <v>175</v>
      </c>
      <c r="F697" s="57">
        <f t="shared" si="16"/>
        <v>1</v>
      </c>
      <c r="G697" s="57">
        <v>0</v>
      </c>
      <c r="H697" s="57">
        <v>0.92100000000000004</v>
      </c>
      <c r="I697" s="57">
        <v>0.54700000000000004</v>
      </c>
      <c r="J697" s="33">
        <f t="shared" si="14"/>
        <v>0.92100000000000004</v>
      </c>
      <c r="K697" s="33">
        <f t="shared" si="15"/>
        <v>0.54700000000000004</v>
      </c>
    </row>
    <row r="698" spans="1:11" x14ac:dyDescent="0.2">
      <c r="A698" s="70">
        <v>44678</v>
      </c>
      <c r="B698" s="57">
        <v>2086</v>
      </c>
      <c r="C698" s="57" t="s">
        <v>176</v>
      </c>
      <c r="D698" s="57" t="s">
        <v>174</v>
      </c>
      <c r="E698" s="57" t="s">
        <v>175</v>
      </c>
      <c r="F698" s="57">
        <f t="shared" si="16"/>
        <v>1</v>
      </c>
      <c r="G698" s="57">
        <v>0</v>
      </c>
      <c r="H698" s="57">
        <v>0.9163</v>
      </c>
      <c r="I698" s="57">
        <v>0.495</v>
      </c>
      <c r="J698" s="33">
        <f t="shared" si="14"/>
        <v>0.9163</v>
      </c>
      <c r="K698" s="33">
        <f t="shared" si="15"/>
        <v>0.495</v>
      </c>
    </row>
    <row r="699" spans="1:11" x14ac:dyDescent="0.2">
      <c r="A699" s="70">
        <v>44678</v>
      </c>
      <c r="B699" s="57">
        <v>2090</v>
      </c>
      <c r="C699" s="57" t="s">
        <v>173</v>
      </c>
      <c r="D699" s="57" t="s">
        <v>177</v>
      </c>
      <c r="E699" s="57" t="s">
        <v>178</v>
      </c>
      <c r="F699" s="57">
        <f t="shared" si="16"/>
        <v>0</v>
      </c>
      <c r="G699" s="57">
        <v>25.98</v>
      </c>
      <c r="H699" s="57">
        <v>33.942999999999998</v>
      </c>
      <c r="I699" s="57">
        <v>29.573799999999999</v>
      </c>
      <c r="J699" s="33">
        <f t="shared" si="14"/>
        <v>7.9629999999999974</v>
      </c>
      <c r="K699" s="33">
        <f t="shared" si="15"/>
        <v>3.5937999999999981</v>
      </c>
    </row>
    <row r="700" spans="1:11" x14ac:dyDescent="0.2">
      <c r="A700" s="70">
        <v>44676</v>
      </c>
      <c r="B700" s="57">
        <v>2377</v>
      </c>
      <c r="C700" s="57" t="s">
        <v>173</v>
      </c>
      <c r="D700" s="57" t="s">
        <v>177</v>
      </c>
      <c r="E700" s="57" t="s">
        <v>178</v>
      </c>
      <c r="F700" s="57">
        <f t="shared" si="16"/>
        <v>0</v>
      </c>
      <c r="G700" s="57">
        <v>25.518000000000001</v>
      </c>
      <c r="H700" s="57">
        <v>27.364000000000001</v>
      </c>
      <c r="I700" s="57">
        <v>26.662400000000002</v>
      </c>
      <c r="J700" s="33">
        <f t="shared" si="14"/>
        <v>1.8460000000000001</v>
      </c>
      <c r="K700" s="33">
        <f t="shared" si="15"/>
        <v>1.144400000000001</v>
      </c>
    </row>
    <row r="701" spans="1:11" x14ac:dyDescent="0.2">
      <c r="A701" s="70">
        <v>44676</v>
      </c>
      <c r="B701" s="57">
        <v>2346</v>
      </c>
      <c r="C701" s="57" t="s">
        <v>173</v>
      </c>
      <c r="D701" s="57" t="s">
        <v>177</v>
      </c>
      <c r="E701" s="57" t="s">
        <v>175</v>
      </c>
      <c r="F701" s="57">
        <f t="shared" si="16"/>
        <v>0</v>
      </c>
      <c r="G701" s="57">
        <v>26.47</v>
      </c>
      <c r="H701" s="57">
        <v>26.763000000000002</v>
      </c>
      <c r="I701" s="57">
        <v>26.622699999999998</v>
      </c>
      <c r="J701" s="33">
        <f t="shared" si="14"/>
        <v>0.29300000000000281</v>
      </c>
      <c r="K701" s="33">
        <f t="shared" si="15"/>
        <v>0.15269999999999939</v>
      </c>
    </row>
    <row r="702" spans="1:11" x14ac:dyDescent="0.2">
      <c r="A702" s="70">
        <v>44676</v>
      </c>
      <c r="B702" s="57">
        <v>2011</v>
      </c>
      <c r="C702" s="57" t="s">
        <v>176</v>
      </c>
      <c r="D702" s="57" t="s">
        <v>177</v>
      </c>
      <c r="E702" s="57" t="s">
        <v>178</v>
      </c>
      <c r="F702" s="57">
        <f t="shared" si="16"/>
        <v>0</v>
      </c>
      <c r="G702" s="57">
        <v>26.166</v>
      </c>
      <c r="H702" s="57">
        <v>28.827200000000001</v>
      </c>
      <c r="I702" s="57">
        <v>27.54</v>
      </c>
      <c r="J702" s="33">
        <f t="shared" si="14"/>
        <v>2.6612000000000009</v>
      </c>
      <c r="K702" s="33">
        <f t="shared" si="15"/>
        <v>1.3739999999999988</v>
      </c>
    </row>
    <row r="703" spans="1:11" x14ac:dyDescent="0.2">
      <c r="A703" s="70">
        <v>44676</v>
      </c>
      <c r="B703" s="57">
        <v>2331</v>
      </c>
      <c r="C703" s="57" t="s">
        <v>176</v>
      </c>
      <c r="D703" s="57" t="s">
        <v>174</v>
      </c>
      <c r="E703" s="57" t="s">
        <v>178</v>
      </c>
      <c r="F703" s="57">
        <f t="shared" si="16"/>
        <v>1</v>
      </c>
      <c r="G703" s="57">
        <v>22.974</v>
      </c>
      <c r="H703" s="57">
        <v>32.906999999999996</v>
      </c>
      <c r="I703" s="57">
        <v>29.819600000000001</v>
      </c>
      <c r="J703" s="33">
        <f t="shared" si="14"/>
        <v>9.9329999999999963</v>
      </c>
      <c r="K703" s="33">
        <f t="shared" si="15"/>
        <v>6.845600000000001</v>
      </c>
    </row>
    <row r="704" spans="1:11" x14ac:dyDescent="0.2">
      <c r="A704" s="70">
        <v>44676</v>
      </c>
      <c r="B704" s="57">
        <v>2377</v>
      </c>
      <c r="C704" s="57" t="s">
        <v>176</v>
      </c>
      <c r="D704" s="57" t="s">
        <v>174</v>
      </c>
      <c r="E704" s="57" t="s">
        <v>175</v>
      </c>
      <c r="F704" s="57">
        <f t="shared" si="16"/>
        <v>1</v>
      </c>
      <c r="G704" s="57">
        <v>25.587</v>
      </c>
      <c r="H704" s="57">
        <v>26.758299999999998</v>
      </c>
      <c r="I704" s="57">
        <v>26.4084</v>
      </c>
      <c r="J704" s="33">
        <f t="shared" si="14"/>
        <v>1.1712999999999987</v>
      </c>
      <c r="K704" s="33">
        <f t="shared" si="15"/>
        <v>0.82140000000000057</v>
      </c>
    </row>
    <row r="705" spans="1:11" x14ac:dyDescent="0.2">
      <c r="A705" s="70">
        <v>44676</v>
      </c>
      <c r="B705" s="57">
        <v>2372</v>
      </c>
      <c r="C705" s="57" t="s">
        <v>173</v>
      </c>
      <c r="D705" s="57" t="s">
        <v>177</v>
      </c>
      <c r="E705" s="57" t="s">
        <v>178</v>
      </c>
      <c r="F705" s="57">
        <f t="shared" si="16"/>
        <v>0</v>
      </c>
      <c r="G705" s="57">
        <v>26.253</v>
      </c>
      <c r="H705" s="57">
        <v>31.468</v>
      </c>
      <c r="I705" s="57">
        <v>29.0609</v>
      </c>
      <c r="J705" s="33">
        <f t="shared" si="14"/>
        <v>5.2149999999999999</v>
      </c>
      <c r="K705" s="33">
        <f t="shared" si="15"/>
        <v>2.8079000000000001</v>
      </c>
    </row>
    <row r="706" spans="1:11" x14ac:dyDescent="0.2">
      <c r="A706" s="70">
        <v>44676</v>
      </c>
      <c r="B706" s="57">
        <v>2354</v>
      </c>
      <c r="C706" s="57" t="s">
        <v>176</v>
      </c>
      <c r="D706" s="57" t="s">
        <v>177</v>
      </c>
      <c r="E706" s="57" t="s">
        <v>178</v>
      </c>
      <c r="F706" s="57">
        <f t="shared" si="16"/>
        <v>0</v>
      </c>
      <c r="G706" s="57">
        <v>25.812000000000001</v>
      </c>
      <c r="H706" s="57">
        <v>27.819700000000001</v>
      </c>
      <c r="I706" s="57">
        <v>26.821400000000001</v>
      </c>
      <c r="J706" s="33">
        <f t="shared" si="14"/>
        <v>2.0076999999999998</v>
      </c>
      <c r="K706" s="33">
        <f t="shared" si="15"/>
        <v>1.0093999999999994</v>
      </c>
    </row>
    <row r="707" spans="1:11" x14ac:dyDescent="0.2">
      <c r="A707" s="70">
        <v>44678</v>
      </c>
      <c r="B707" s="57">
        <v>2021</v>
      </c>
      <c r="C707" s="57" t="s">
        <v>173</v>
      </c>
      <c r="D707" s="57" t="s">
        <v>177</v>
      </c>
      <c r="E707" s="57" t="s">
        <v>178</v>
      </c>
      <c r="F707" s="57">
        <f t="shared" si="16"/>
        <v>0</v>
      </c>
      <c r="G707" s="57">
        <v>25.957000000000001</v>
      </c>
      <c r="H707" s="57">
        <v>30.974</v>
      </c>
      <c r="I707" s="57">
        <v>28.4466</v>
      </c>
      <c r="J707" s="33">
        <f t="shared" si="14"/>
        <v>5.0169999999999995</v>
      </c>
      <c r="K707" s="33">
        <f t="shared" si="15"/>
        <v>2.4895999999999994</v>
      </c>
    </row>
    <row r="708" spans="1:11" x14ac:dyDescent="0.2">
      <c r="A708" s="70">
        <v>44678</v>
      </c>
      <c r="B708" s="57">
        <v>2086</v>
      </c>
      <c r="C708" s="57" t="s">
        <v>173</v>
      </c>
      <c r="D708" s="57" t="s">
        <v>177</v>
      </c>
      <c r="E708" s="57" t="s">
        <v>178</v>
      </c>
      <c r="F708" s="57">
        <f t="shared" si="16"/>
        <v>0</v>
      </c>
      <c r="G708" s="57">
        <v>25.713000000000001</v>
      </c>
      <c r="H708" s="57">
        <v>31.161999999999999</v>
      </c>
      <c r="I708" s="57">
        <v>28.172699999999999</v>
      </c>
      <c r="J708" s="33">
        <f t="shared" si="14"/>
        <v>5.4489999999999981</v>
      </c>
      <c r="K708" s="33">
        <f t="shared" si="15"/>
        <v>2.459699999999998</v>
      </c>
    </row>
    <row r="709" spans="1:11" x14ac:dyDescent="0.2">
      <c r="A709" s="70">
        <v>44678</v>
      </c>
      <c r="B709" s="57">
        <v>2021</v>
      </c>
      <c r="C709" s="57" t="s">
        <v>173</v>
      </c>
      <c r="D709" s="57" t="s">
        <v>177</v>
      </c>
      <c r="E709" s="57" t="s">
        <v>175</v>
      </c>
      <c r="F709" s="57">
        <f t="shared" si="16"/>
        <v>0</v>
      </c>
      <c r="G709" s="57">
        <v>26.184999999999999</v>
      </c>
      <c r="H709" s="57">
        <v>26.219000000000001</v>
      </c>
      <c r="I709" s="57">
        <v>26.3752</v>
      </c>
      <c r="J709" s="33">
        <f t="shared" si="14"/>
        <v>3.4000000000002473E-2</v>
      </c>
      <c r="K709" s="33">
        <f t="shared" si="15"/>
        <v>0.19020000000000081</v>
      </c>
    </row>
    <row r="710" spans="1:11" x14ac:dyDescent="0.2">
      <c r="A710" s="70">
        <v>44676</v>
      </c>
      <c r="B710" s="57">
        <v>2365</v>
      </c>
      <c r="C710" s="57" t="s">
        <v>173</v>
      </c>
      <c r="D710" s="57" t="s">
        <v>177</v>
      </c>
      <c r="E710" s="57" t="s">
        <v>178</v>
      </c>
      <c r="F710" s="57">
        <f t="shared" si="16"/>
        <v>0</v>
      </c>
      <c r="G710" s="57">
        <v>26.099</v>
      </c>
      <c r="H710" s="57">
        <v>31.297000000000001</v>
      </c>
      <c r="I710" s="57">
        <v>28.597300000000001</v>
      </c>
      <c r="J710" s="33">
        <f t="shared" si="14"/>
        <v>5.1980000000000004</v>
      </c>
      <c r="K710" s="33">
        <f t="shared" si="15"/>
        <v>2.4983000000000004</v>
      </c>
    </row>
    <row r="711" spans="1:11" x14ac:dyDescent="0.2">
      <c r="A711" s="70">
        <v>44676</v>
      </c>
      <c r="B711" s="57">
        <v>2379</v>
      </c>
      <c r="C711" s="57" t="s">
        <v>173</v>
      </c>
      <c r="D711" s="57" t="s">
        <v>174</v>
      </c>
      <c r="E711" s="57" t="s">
        <v>175</v>
      </c>
      <c r="F711" s="57">
        <f t="shared" si="16"/>
        <v>1</v>
      </c>
      <c r="G711" s="57">
        <v>25.603899999999999</v>
      </c>
      <c r="H711" s="57">
        <v>27.062000000000001</v>
      </c>
      <c r="I711" s="57">
        <v>26.459499999999998</v>
      </c>
      <c r="J711" s="33">
        <f t="shared" si="14"/>
        <v>1.4581000000000017</v>
      </c>
      <c r="K711" s="33">
        <f t="shared" si="15"/>
        <v>0.85559999999999903</v>
      </c>
    </row>
    <row r="712" spans="1:11" x14ac:dyDescent="0.2">
      <c r="A712" s="70">
        <v>44676</v>
      </c>
      <c r="B712" s="57">
        <v>2011</v>
      </c>
      <c r="C712" s="57" t="s">
        <v>173</v>
      </c>
      <c r="D712" s="57" t="s">
        <v>177</v>
      </c>
      <c r="E712" s="57" t="s">
        <v>175</v>
      </c>
      <c r="F712" s="57">
        <f t="shared" si="16"/>
        <v>0</v>
      </c>
      <c r="G712" s="57">
        <v>25.2529</v>
      </c>
      <c r="H712" s="57">
        <v>26.417999999999999</v>
      </c>
      <c r="I712" s="57">
        <v>25.575199999999999</v>
      </c>
      <c r="J712" s="33">
        <f t="shared" si="14"/>
        <v>1.1650999999999989</v>
      </c>
      <c r="K712" s="33">
        <f t="shared" si="15"/>
        <v>0.32229999999999848</v>
      </c>
    </row>
    <row r="713" spans="1:11" x14ac:dyDescent="0.2">
      <c r="A713" s="70">
        <v>44676</v>
      </c>
      <c r="B713" s="57">
        <v>2380</v>
      </c>
      <c r="C713" s="57" t="s">
        <v>173</v>
      </c>
      <c r="D713" s="57" t="s">
        <v>174</v>
      </c>
      <c r="E713" s="57" t="s">
        <v>178</v>
      </c>
      <c r="F713" s="57">
        <f t="shared" si="16"/>
        <v>1</v>
      </c>
      <c r="G713" s="57">
        <v>25.619</v>
      </c>
      <c r="H713" s="57">
        <v>30.888000000000002</v>
      </c>
      <c r="I713" s="57">
        <v>28.951899999999998</v>
      </c>
      <c r="J713" s="33">
        <f t="shared" si="14"/>
        <v>5.2690000000000019</v>
      </c>
      <c r="K713" s="33">
        <f t="shared" si="15"/>
        <v>3.3328999999999986</v>
      </c>
    </row>
    <row r="714" spans="1:11" x14ac:dyDescent="0.2">
      <c r="A714" s="70">
        <v>44676</v>
      </c>
      <c r="B714" s="57">
        <v>2383</v>
      </c>
      <c r="C714" s="57" t="s">
        <v>173</v>
      </c>
      <c r="D714" s="57" t="s">
        <v>177</v>
      </c>
      <c r="E714" s="57" t="s">
        <v>178</v>
      </c>
      <c r="F714" s="57">
        <f t="shared" si="16"/>
        <v>0</v>
      </c>
      <c r="G714" s="57">
        <v>25.477</v>
      </c>
      <c r="H714" s="57">
        <v>29.54</v>
      </c>
      <c r="I714" s="57">
        <v>27.6829</v>
      </c>
      <c r="J714" s="33">
        <f t="shared" si="14"/>
        <v>4.0629999999999988</v>
      </c>
      <c r="K714" s="33">
        <f t="shared" si="15"/>
        <v>2.2058999999999997</v>
      </c>
    </row>
    <row r="715" spans="1:11" x14ac:dyDescent="0.2">
      <c r="A715" s="70">
        <v>44678</v>
      </c>
      <c r="B715" s="57">
        <v>2093</v>
      </c>
      <c r="C715" s="57" t="s">
        <v>173</v>
      </c>
      <c r="D715" s="57" t="s">
        <v>174</v>
      </c>
      <c r="E715" s="57" t="s">
        <v>178</v>
      </c>
      <c r="F715" s="57">
        <f t="shared" si="16"/>
        <v>1</v>
      </c>
      <c r="G715" s="57">
        <v>25.88</v>
      </c>
      <c r="H715" s="57">
        <v>30.335999999999999</v>
      </c>
      <c r="I715" s="57">
        <v>28.466999999999999</v>
      </c>
      <c r="J715" s="33">
        <f t="shared" si="14"/>
        <v>4.4559999999999995</v>
      </c>
      <c r="K715" s="33">
        <f t="shared" si="15"/>
        <v>2.5869999999999997</v>
      </c>
    </row>
    <row r="716" spans="1:11" x14ac:dyDescent="0.2">
      <c r="A716" s="70">
        <v>44676</v>
      </c>
      <c r="B716" s="57">
        <v>2381</v>
      </c>
      <c r="C716" s="57" t="s">
        <v>176</v>
      </c>
      <c r="D716" s="57" t="s">
        <v>177</v>
      </c>
      <c r="E716" s="57" t="s">
        <v>178</v>
      </c>
      <c r="F716" s="57">
        <f t="shared" si="16"/>
        <v>0</v>
      </c>
      <c r="G716" s="57">
        <v>26.527999999999999</v>
      </c>
      <c r="H716" s="57">
        <v>29.7242</v>
      </c>
      <c r="I716" s="57">
        <v>28.170999999999999</v>
      </c>
      <c r="J716" s="33">
        <f t="shared" si="14"/>
        <v>3.196200000000001</v>
      </c>
      <c r="K716" s="33">
        <f t="shared" si="15"/>
        <v>1.6430000000000007</v>
      </c>
    </row>
    <row r="717" spans="1:11" x14ac:dyDescent="0.2">
      <c r="A717" s="70">
        <v>44676</v>
      </c>
      <c r="B717" s="57">
        <v>2010</v>
      </c>
      <c r="C717" s="57" t="s">
        <v>173</v>
      </c>
      <c r="D717" s="57" t="s">
        <v>177</v>
      </c>
      <c r="E717" s="57" t="s">
        <v>175</v>
      </c>
      <c r="F717" s="57">
        <f t="shared" si="16"/>
        <v>0</v>
      </c>
      <c r="G717" s="57">
        <v>25.67</v>
      </c>
      <c r="H717" s="57">
        <v>25.954999999999998</v>
      </c>
      <c r="I717" s="57">
        <v>25.995000000000001</v>
      </c>
      <c r="J717" s="33">
        <f t="shared" si="14"/>
        <v>0.28499999999999659</v>
      </c>
      <c r="K717" s="33">
        <f t="shared" si="15"/>
        <v>0.32499999999999929</v>
      </c>
    </row>
    <row r="718" spans="1:11" x14ac:dyDescent="0.2">
      <c r="A718" s="70">
        <v>44676</v>
      </c>
      <c r="B718" s="57">
        <v>2354</v>
      </c>
      <c r="C718" s="57" t="s">
        <v>176</v>
      </c>
      <c r="D718" s="57" t="s">
        <v>174</v>
      </c>
      <c r="E718" s="57" t="s">
        <v>178</v>
      </c>
      <c r="F718" s="57">
        <f t="shared" si="16"/>
        <v>1</v>
      </c>
      <c r="G718" s="57">
        <v>26.381</v>
      </c>
      <c r="H718" s="57">
        <v>31.172799999999999</v>
      </c>
      <c r="I718" s="57">
        <v>29.148599999999998</v>
      </c>
      <c r="J718" s="33">
        <f t="shared" si="14"/>
        <v>4.7917999999999985</v>
      </c>
      <c r="K718" s="33">
        <f t="shared" si="15"/>
        <v>2.7675999999999981</v>
      </c>
    </row>
    <row r="719" spans="1:11" x14ac:dyDescent="0.2">
      <c r="A719" s="70">
        <v>44676</v>
      </c>
      <c r="B719" s="57">
        <v>2382</v>
      </c>
      <c r="C719" s="57" t="s">
        <v>176</v>
      </c>
      <c r="D719" s="57" t="s">
        <v>177</v>
      </c>
      <c r="E719" s="57" t="s">
        <v>175</v>
      </c>
      <c r="F719" s="57">
        <f t="shared" si="16"/>
        <v>0</v>
      </c>
      <c r="G719" s="57">
        <v>25.372</v>
      </c>
      <c r="H719" s="57">
        <v>26.395900000000001</v>
      </c>
      <c r="I719" s="57">
        <v>25.7379</v>
      </c>
      <c r="J719" s="33">
        <f t="shared" si="14"/>
        <v>1.0239000000000011</v>
      </c>
      <c r="K719" s="33">
        <f t="shared" si="15"/>
        <v>0.36589999999999989</v>
      </c>
    </row>
    <row r="720" spans="1:11" x14ac:dyDescent="0.2">
      <c r="A720" s="70">
        <v>44676</v>
      </c>
      <c r="B720" s="57">
        <v>2127</v>
      </c>
      <c r="C720" s="57" t="s">
        <v>173</v>
      </c>
      <c r="D720" s="57" t="s">
        <v>177</v>
      </c>
      <c r="E720" s="57" t="s">
        <v>178</v>
      </c>
      <c r="F720" s="57">
        <f t="shared" si="16"/>
        <v>0</v>
      </c>
      <c r="G720" s="57">
        <v>26.181000000000001</v>
      </c>
      <c r="H720" s="57">
        <v>30.263999999999999</v>
      </c>
      <c r="I720" s="57">
        <v>28.374500000000001</v>
      </c>
      <c r="J720" s="33">
        <f t="shared" si="14"/>
        <v>4.0829999999999984</v>
      </c>
      <c r="K720" s="33">
        <f t="shared" si="15"/>
        <v>2.1935000000000002</v>
      </c>
    </row>
    <row r="721" spans="1:11" x14ac:dyDescent="0.2">
      <c r="A721" s="70">
        <v>44678</v>
      </c>
      <c r="B721" s="57">
        <v>2023</v>
      </c>
      <c r="C721" s="57" t="s">
        <v>173</v>
      </c>
      <c r="D721" s="57" t="s">
        <v>177</v>
      </c>
      <c r="E721" s="57" t="s">
        <v>178</v>
      </c>
      <c r="F721" s="57">
        <f t="shared" si="16"/>
        <v>0</v>
      </c>
      <c r="G721" s="57">
        <v>26.106000000000002</v>
      </c>
      <c r="H721" s="57">
        <v>30.085999999999999</v>
      </c>
      <c r="I721" s="57">
        <v>28.160900000000002</v>
      </c>
      <c r="J721" s="33">
        <f t="shared" si="14"/>
        <v>3.9799999999999969</v>
      </c>
      <c r="K721" s="33">
        <f t="shared" si="15"/>
        <v>2.0548999999999999</v>
      </c>
    </row>
    <row r="722" spans="1:11" x14ac:dyDescent="0.2">
      <c r="A722" s="70">
        <v>44676</v>
      </c>
      <c r="B722" s="57">
        <v>2352</v>
      </c>
      <c r="C722" s="57" t="s">
        <v>176</v>
      </c>
      <c r="D722" s="57" t="s">
        <v>177</v>
      </c>
      <c r="E722" s="57" t="s">
        <v>175</v>
      </c>
      <c r="F722" s="57">
        <f t="shared" si="16"/>
        <v>0</v>
      </c>
      <c r="G722" s="57">
        <v>15.532</v>
      </c>
      <c r="H722" s="57">
        <v>16.1569</v>
      </c>
      <c r="I722" s="57">
        <v>15.656000000000001</v>
      </c>
      <c r="J722" s="33">
        <f t="shared" si="14"/>
        <v>0.62490000000000023</v>
      </c>
      <c r="K722" s="33">
        <f t="shared" si="15"/>
        <v>0.12400000000000055</v>
      </c>
    </row>
    <row r="723" spans="1:11" x14ac:dyDescent="0.2">
      <c r="A723" s="70">
        <v>44676</v>
      </c>
      <c r="B723" s="57">
        <v>2367</v>
      </c>
      <c r="C723" s="57" t="s">
        <v>176</v>
      </c>
      <c r="D723" s="57" t="s">
        <v>177</v>
      </c>
      <c r="E723" s="57" t="s">
        <v>178</v>
      </c>
      <c r="F723" s="57">
        <f t="shared" si="16"/>
        <v>0</v>
      </c>
      <c r="G723" s="57">
        <v>26.457999999999998</v>
      </c>
      <c r="H723" s="57">
        <v>28.207699999999999</v>
      </c>
      <c r="I723" s="57">
        <v>27.367599999999999</v>
      </c>
      <c r="J723" s="33">
        <f t="shared" si="14"/>
        <v>1.7497000000000007</v>
      </c>
      <c r="K723" s="33">
        <f t="shared" si="15"/>
        <v>0.90960000000000107</v>
      </c>
    </row>
    <row r="724" spans="1:11" x14ac:dyDescent="0.2">
      <c r="A724" s="70">
        <v>44676</v>
      </c>
      <c r="B724" s="57">
        <v>2379</v>
      </c>
      <c r="C724" s="57" t="s">
        <v>173</v>
      </c>
      <c r="D724" s="57" t="s">
        <v>177</v>
      </c>
      <c r="E724" s="57" t="s">
        <v>178</v>
      </c>
      <c r="F724" s="57">
        <f t="shared" si="16"/>
        <v>0</v>
      </c>
      <c r="G724" s="57">
        <v>26.286999999999999</v>
      </c>
      <c r="H724" s="57">
        <v>31.908000000000001</v>
      </c>
      <c r="I724" s="57">
        <v>29.3536</v>
      </c>
      <c r="J724" s="33">
        <f t="shared" si="14"/>
        <v>5.6210000000000022</v>
      </c>
      <c r="K724" s="33">
        <f t="shared" si="15"/>
        <v>3.0666000000000011</v>
      </c>
    </row>
    <row r="725" spans="1:11" x14ac:dyDescent="0.2">
      <c r="A725" s="70">
        <v>44676</v>
      </c>
      <c r="B725" s="57">
        <v>2375</v>
      </c>
      <c r="C725" s="57" t="s">
        <v>176</v>
      </c>
      <c r="D725" s="57" t="s">
        <v>177</v>
      </c>
      <c r="E725" s="57" t="s">
        <v>178</v>
      </c>
      <c r="F725" s="57">
        <f t="shared" si="16"/>
        <v>0</v>
      </c>
      <c r="G725" s="57">
        <v>25.367000000000001</v>
      </c>
      <c r="H725" s="57">
        <v>29.291699999999999</v>
      </c>
      <c r="I725" s="57">
        <v>27.129000000000001</v>
      </c>
      <c r="J725" s="33">
        <f t="shared" si="14"/>
        <v>3.9246999999999979</v>
      </c>
      <c r="K725" s="33">
        <f t="shared" si="15"/>
        <v>1.7620000000000005</v>
      </c>
    </row>
    <row r="726" spans="1:11" x14ac:dyDescent="0.2">
      <c r="A726" s="70">
        <v>44676</v>
      </c>
      <c r="B726" s="57">
        <v>2345</v>
      </c>
      <c r="C726" s="57" t="s">
        <v>176</v>
      </c>
      <c r="D726" s="57" t="s">
        <v>174</v>
      </c>
      <c r="E726" s="57" t="s">
        <v>178</v>
      </c>
      <c r="F726" s="57">
        <f t="shared" si="16"/>
        <v>1</v>
      </c>
      <c r="G726" s="57">
        <v>25.998999999999999</v>
      </c>
      <c r="H726" s="57">
        <v>31.412800000000001</v>
      </c>
      <c r="I726" s="57">
        <v>29.292200000000001</v>
      </c>
      <c r="J726" s="33">
        <f t="shared" si="14"/>
        <v>5.4138000000000019</v>
      </c>
      <c r="K726" s="33">
        <f t="shared" si="15"/>
        <v>3.2932000000000023</v>
      </c>
    </row>
    <row r="727" spans="1:11" x14ac:dyDescent="0.2">
      <c r="A727" s="70">
        <v>44676</v>
      </c>
      <c r="B727" s="57">
        <v>2352</v>
      </c>
      <c r="C727" s="57" t="s">
        <v>173</v>
      </c>
      <c r="D727" s="57" t="s">
        <v>174</v>
      </c>
      <c r="E727" s="57" t="s">
        <v>178</v>
      </c>
      <c r="F727" s="57">
        <f t="shared" si="16"/>
        <v>1</v>
      </c>
      <c r="G727" s="57">
        <v>26.068000000000001</v>
      </c>
      <c r="H727" s="57">
        <v>32.029000000000003</v>
      </c>
      <c r="I727" s="57">
        <v>29.914999999999999</v>
      </c>
      <c r="J727" s="33">
        <f t="shared" si="14"/>
        <v>5.9610000000000021</v>
      </c>
      <c r="K727" s="33">
        <f t="shared" si="15"/>
        <v>3.8469999999999978</v>
      </c>
    </row>
    <row r="728" spans="1:11" x14ac:dyDescent="0.2">
      <c r="A728" s="70">
        <v>44678</v>
      </c>
      <c r="B728" s="57">
        <v>2025</v>
      </c>
      <c r="C728" s="57" t="s">
        <v>173</v>
      </c>
      <c r="D728" s="57" t="s">
        <v>174</v>
      </c>
      <c r="E728" s="57" t="s">
        <v>175</v>
      </c>
      <c r="F728" s="57">
        <f t="shared" si="16"/>
        <v>1</v>
      </c>
      <c r="G728" s="57">
        <v>25.692</v>
      </c>
      <c r="H728" s="57">
        <v>26.972999999999999</v>
      </c>
      <c r="I728" s="57">
        <v>26.386199999999999</v>
      </c>
      <c r="J728" s="33">
        <f t="shared" si="14"/>
        <v>1.2809999999999988</v>
      </c>
      <c r="K728" s="33">
        <f t="shared" si="15"/>
        <v>0.6941999999999986</v>
      </c>
    </row>
    <row r="729" spans="1:11" x14ac:dyDescent="0.2">
      <c r="A729" s="70">
        <v>44676</v>
      </c>
      <c r="B729" s="57">
        <v>2301</v>
      </c>
      <c r="C729" s="57" t="s">
        <v>176</v>
      </c>
      <c r="D729" s="57" t="s">
        <v>174</v>
      </c>
      <c r="E729" s="57" t="s">
        <v>175</v>
      </c>
      <c r="F729" s="57">
        <f t="shared" si="16"/>
        <v>1</v>
      </c>
      <c r="G729" s="57">
        <v>26.017600000000002</v>
      </c>
      <c r="H729" s="57">
        <v>26.537400000000002</v>
      </c>
      <c r="I729" s="57">
        <v>26.277999999999999</v>
      </c>
      <c r="J729" s="33">
        <f t="shared" si="14"/>
        <v>0.51980000000000004</v>
      </c>
      <c r="K729" s="33">
        <f t="shared" si="15"/>
        <v>0.26039999999999708</v>
      </c>
    </row>
    <row r="730" spans="1:11" x14ac:dyDescent="0.2">
      <c r="A730" s="70">
        <v>44678</v>
      </c>
      <c r="B730" s="57">
        <v>2093</v>
      </c>
      <c r="C730" s="57" t="s">
        <v>173</v>
      </c>
      <c r="D730" s="57" t="s">
        <v>177</v>
      </c>
      <c r="E730" s="57" t="s">
        <v>178</v>
      </c>
      <c r="F730" s="57">
        <f t="shared" si="16"/>
        <v>0</v>
      </c>
      <c r="G730" s="57">
        <v>25.748000000000001</v>
      </c>
      <c r="H730" s="57">
        <v>31.251000000000001</v>
      </c>
      <c r="I730" s="57">
        <v>27.587299999999999</v>
      </c>
      <c r="J730" s="33">
        <f t="shared" si="14"/>
        <v>5.5030000000000001</v>
      </c>
      <c r="K730" s="33">
        <f t="shared" si="15"/>
        <v>1.8392999999999979</v>
      </c>
    </row>
    <row r="731" spans="1:11" x14ac:dyDescent="0.2">
      <c r="A731" s="70">
        <v>44676</v>
      </c>
      <c r="B731" s="57">
        <v>2370</v>
      </c>
      <c r="C731" s="57" t="s">
        <v>176</v>
      </c>
      <c r="D731" s="57" t="s">
        <v>177</v>
      </c>
      <c r="E731" s="57" t="s">
        <v>178</v>
      </c>
      <c r="F731" s="57">
        <f t="shared" si="16"/>
        <v>0</v>
      </c>
      <c r="G731" s="57">
        <v>26.5395</v>
      </c>
      <c r="H731" s="57">
        <v>29.4084</v>
      </c>
      <c r="I731" s="57">
        <v>28.137</v>
      </c>
      <c r="J731" s="33">
        <f t="shared" si="14"/>
        <v>2.8689</v>
      </c>
      <c r="K731" s="33">
        <f t="shared" si="15"/>
        <v>1.5975000000000001</v>
      </c>
    </row>
    <row r="732" spans="1:11" x14ac:dyDescent="0.2">
      <c r="A732" s="70">
        <v>44676</v>
      </c>
      <c r="B732" s="57">
        <v>2352</v>
      </c>
      <c r="C732" s="57" t="s">
        <v>176</v>
      </c>
      <c r="D732" s="57" t="s">
        <v>174</v>
      </c>
      <c r="E732" s="57" t="s">
        <v>175</v>
      </c>
      <c r="F732" s="57">
        <f t="shared" si="16"/>
        <v>1</v>
      </c>
      <c r="G732" s="57">
        <v>26.181699999999999</v>
      </c>
      <c r="H732" s="57">
        <v>26.627500000000001</v>
      </c>
      <c r="I732" s="57">
        <v>26.395199999999999</v>
      </c>
      <c r="J732" s="33">
        <f t="shared" si="14"/>
        <v>0.44580000000000197</v>
      </c>
      <c r="K732" s="33">
        <f t="shared" si="15"/>
        <v>0.2134999999999998</v>
      </c>
    </row>
    <row r="733" spans="1:11" x14ac:dyDescent="0.2">
      <c r="A733" s="70">
        <v>44676</v>
      </c>
      <c r="B733" s="57">
        <v>2380</v>
      </c>
      <c r="C733" s="57" t="s">
        <v>173</v>
      </c>
      <c r="D733" s="57" t="s">
        <v>174</v>
      </c>
      <c r="E733" s="57" t="s">
        <v>175</v>
      </c>
      <c r="F733" s="57">
        <f t="shared" si="16"/>
        <v>1</v>
      </c>
      <c r="G733" s="57">
        <v>26.262</v>
      </c>
      <c r="H733" s="57">
        <v>28.32</v>
      </c>
      <c r="I733" s="57">
        <v>27.658999999999999</v>
      </c>
      <c r="J733" s="33">
        <f t="shared" si="14"/>
        <v>2.0579999999999998</v>
      </c>
      <c r="K733" s="33">
        <f t="shared" si="15"/>
        <v>1.3969999999999985</v>
      </c>
    </row>
    <row r="734" spans="1:11" x14ac:dyDescent="0.2">
      <c r="A734" s="70">
        <v>44678</v>
      </c>
      <c r="B734" s="57">
        <v>2027</v>
      </c>
      <c r="C734" s="57" t="s">
        <v>173</v>
      </c>
      <c r="D734" s="57" t="s">
        <v>174</v>
      </c>
      <c r="E734" s="57" t="s">
        <v>175</v>
      </c>
      <c r="F734" s="57">
        <f t="shared" si="16"/>
        <v>1</v>
      </c>
      <c r="G734" s="57">
        <v>25.689</v>
      </c>
      <c r="H734" s="57">
        <v>26.795999999999999</v>
      </c>
      <c r="I734" s="57">
        <v>26.496300000000002</v>
      </c>
      <c r="J734" s="33">
        <f t="shared" si="14"/>
        <v>1.1069999999999993</v>
      </c>
      <c r="K734" s="33">
        <f t="shared" si="15"/>
        <v>0.80730000000000146</v>
      </c>
    </row>
    <row r="735" spans="1:11" x14ac:dyDescent="0.2">
      <c r="A735" s="70">
        <v>44676</v>
      </c>
      <c r="B735" s="57">
        <v>2354</v>
      </c>
      <c r="C735" s="57" t="s">
        <v>173</v>
      </c>
      <c r="D735" s="57" t="s">
        <v>177</v>
      </c>
      <c r="E735" s="57" t="s">
        <v>175</v>
      </c>
      <c r="F735" s="57">
        <f t="shared" si="16"/>
        <v>0</v>
      </c>
      <c r="G735" s="57">
        <v>26.065000000000001</v>
      </c>
      <c r="H735" s="57">
        <v>26.143000000000001</v>
      </c>
      <c r="I735" s="57">
        <v>26.103400000000001</v>
      </c>
      <c r="J735" s="33">
        <f t="shared" si="14"/>
        <v>7.7999999999999403E-2</v>
      </c>
      <c r="K735" s="33">
        <f t="shared" si="15"/>
        <v>3.8399999999999324E-2</v>
      </c>
    </row>
    <row r="736" spans="1:11" x14ac:dyDescent="0.2">
      <c r="A736" s="70">
        <v>44676</v>
      </c>
      <c r="B736" s="57">
        <v>2379</v>
      </c>
      <c r="C736" s="57" t="s">
        <v>176</v>
      </c>
      <c r="D736" s="57" t="s">
        <v>177</v>
      </c>
      <c r="E736" s="57" t="s">
        <v>178</v>
      </c>
      <c r="F736" s="57">
        <f t="shared" si="16"/>
        <v>0</v>
      </c>
      <c r="G736" s="57">
        <v>25.835999999999999</v>
      </c>
      <c r="H736" s="57">
        <v>28.0322</v>
      </c>
      <c r="I736" s="57">
        <v>27.175599999999999</v>
      </c>
      <c r="J736" s="33">
        <f t="shared" si="14"/>
        <v>2.196200000000001</v>
      </c>
      <c r="K736" s="33">
        <f t="shared" si="15"/>
        <v>1.3396000000000008</v>
      </c>
    </row>
    <row r="737" spans="1:11" x14ac:dyDescent="0.2">
      <c r="A737" s="70">
        <v>44676</v>
      </c>
      <c r="B737" s="57">
        <v>2377</v>
      </c>
      <c r="C737" s="57" t="s">
        <v>173</v>
      </c>
      <c r="D737" s="57" t="s">
        <v>174</v>
      </c>
      <c r="E737" s="57" t="s">
        <v>175</v>
      </c>
      <c r="F737" s="57">
        <f t="shared" si="16"/>
        <v>1</v>
      </c>
      <c r="G737" s="57">
        <v>25.573899999999998</v>
      </c>
      <c r="H737" s="57">
        <v>28.315000000000001</v>
      </c>
      <c r="I737" s="57">
        <v>27.3001</v>
      </c>
      <c r="J737" s="33">
        <f t="shared" si="14"/>
        <v>2.741100000000003</v>
      </c>
      <c r="K737" s="33">
        <f t="shared" si="15"/>
        <v>1.7262000000000022</v>
      </c>
    </row>
    <row r="738" spans="1:11" x14ac:dyDescent="0.2">
      <c r="A738" s="70">
        <v>44678</v>
      </c>
      <c r="B738" s="57">
        <v>2012</v>
      </c>
      <c r="C738" s="57" t="s">
        <v>173</v>
      </c>
      <c r="D738" s="57" t="s">
        <v>174</v>
      </c>
      <c r="E738" s="57" t="s">
        <v>175</v>
      </c>
      <c r="F738" s="57">
        <f t="shared" si="16"/>
        <v>1</v>
      </c>
      <c r="G738" s="57">
        <v>26.27</v>
      </c>
      <c r="H738" s="57">
        <v>27.126999999999999</v>
      </c>
      <c r="I738" s="57">
        <v>26.912400000000002</v>
      </c>
      <c r="J738" s="33">
        <f t="shared" si="14"/>
        <v>0.85699999999999932</v>
      </c>
      <c r="K738" s="33">
        <f t="shared" si="15"/>
        <v>0.64240000000000208</v>
      </c>
    </row>
    <row r="739" spans="1:11" x14ac:dyDescent="0.2">
      <c r="A739" s="70">
        <v>44676</v>
      </c>
      <c r="B739" s="57">
        <v>2360</v>
      </c>
      <c r="C739" s="57" t="s">
        <v>176</v>
      </c>
      <c r="D739" s="57" t="s">
        <v>177</v>
      </c>
      <c r="E739" s="57" t="s">
        <v>175</v>
      </c>
      <c r="F739" s="57">
        <f t="shared" si="16"/>
        <v>0</v>
      </c>
      <c r="G739" s="57">
        <v>26.452000000000002</v>
      </c>
      <c r="H739" s="57">
        <v>26.285</v>
      </c>
      <c r="I739" s="57">
        <v>26.560300000000002</v>
      </c>
      <c r="J739" s="33">
        <f t="shared" si="14"/>
        <v>-0.16700000000000159</v>
      </c>
      <c r="K739" s="33">
        <f t="shared" si="15"/>
        <v>0.10829999999999984</v>
      </c>
    </row>
    <row r="740" spans="1:11" x14ac:dyDescent="0.2">
      <c r="A740" s="70">
        <v>44676</v>
      </c>
      <c r="B740" s="57">
        <v>2009</v>
      </c>
      <c r="C740" s="57" t="s">
        <v>176</v>
      </c>
      <c r="D740" s="57" t="s">
        <v>177</v>
      </c>
      <c r="E740" s="57" t="s">
        <v>175</v>
      </c>
      <c r="F740" s="57">
        <f t="shared" si="16"/>
        <v>0</v>
      </c>
      <c r="G740" s="57">
        <v>25.774899999999999</v>
      </c>
      <c r="H740" s="57">
        <v>26.229099999999999</v>
      </c>
      <c r="I740" s="57">
        <v>25.960999999999999</v>
      </c>
      <c r="J740" s="33">
        <f t="shared" si="14"/>
        <v>0.45420000000000016</v>
      </c>
      <c r="K740" s="33">
        <f t="shared" si="15"/>
        <v>0.18609999999999971</v>
      </c>
    </row>
    <row r="741" spans="1:11" x14ac:dyDescent="0.2">
      <c r="A741" s="70">
        <v>44676</v>
      </c>
      <c r="B741" s="57">
        <v>2369</v>
      </c>
      <c r="C741" s="57" t="s">
        <v>173</v>
      </c>
      <c r="D741" s="57" t="s">
        <v>177</v>
      </c>
      <c r="E741" s="57" t="s">
        <v>178</v>
      </c>
      <c r="F741" s="57">
        <f t="shared" si="16"/>
        <v>0</v>
      </c>
      <c r="G741" s="57">
        <v>26.2544</v>
      </c>
      <c r="H741" s="57">
        <v>32.338999999999999</v>
      </c>
      <c r="I741" s="57">
        <v>29.497800000000002</v>
      </c>
      <c r="J741" s="33">
        <f t="shared" si="14"/>
        <v>6.0845999999999982</v>
      </c>
      <c r="K741" s="33">
        <f t="shared" si="15"/>
        <v>3.2434000000000012</v>
      </c>
    </row>
    <row r="742" spans="1:11" x14ac:dyDescent="0.2">
      <c r="A742" s="70">
        <v>44676</v>
      </c>
      <c r="B742" s="57">
        <v>2369</v>
      </c>
      <c r="C742" s="57" t="s">
        <v>176</v>
      </c>
      <c r="D742" s="57" t="s">
        <v>177</v>
      </c>
      <c r="E742" s="57" t="s">
        <v>178</v>
      </c>
      <c r="F742" s="57">
        <f t="shared" si="16"/>
        <v>0</v>
      </c>
      <c r="G742" s="57">
        <v>26.257999999999999</v>
      </c>
      <c r="H742" s="57">
        <v>28.378900000000002</v>
      </c>
      <c r="I742" s="57">
        <v>27.3291</v>
      </c>
      <c r="J742" s="33">
        <f t="shared" si="14"/>
        <v>2.1209000000000024</v>
      </c>
      <c r="K742" s="33">
        <f t="shared" si="15"/>
        <v>1.0711000000000013</v>
      </c>
    </row>
    <row r="743" spans="1:11" x14ac:dyDescent="0.2">
      <c r="A743" s="70">
        <v>44676</v>
      </c>
      <c r="B743" s="57">
        <v>2367</v>
      </c>
      <c r="C743" s="57" t="s">
        <v>173</v>
      </c>
      <c r="D743" s="57" t="s">
        <v>177</v>
      </c>
      <c r="E743" s="57" t="s">
        <v>175</v>
      </c>
      <c r="F743" s="57">
        <f t="shared" si="16"/>
        <v>0</v>
      </c>
      <c r="G743" s="57">
        <v>15.278</v>
      </c>
      <c r="H743" s="57">
        <v>15.37</v>
      </c>
      <c r="I743" s="57">
        <v>15.522</v>
      </c>
      <c r="J743" s="33">
        <f t="shared" si="14"/>
        <v>9.1999999999998749E-2</v>
      </c>
      <c r="K743" s="33">
        <f t="shared" si="15"/>
        <v>0.24399999999999977</v>
      </c>
    </row>
    <row r="744" spans="1:11" x14ac:dyDescent="0.2">
      <c r="A744" s="70">
        <v>44676</v>
      </c>
      <c r="B744" s="57">
        <v>2011</v>
      </c>
      <c r="C744" s="57" t="s">
        <v>176</v>
      </c>
      <c r="D744" s="57" t="s">
        <v>177</v>
      </c>
      <c r="E744" s="57" t="s">
        <v>175</v>
      </c>
      <c r="F744" s="57">
        <f t="shared" si="16"/>
        <v>0</v>
      </c>
      <c r="G744" s="57">
        <v>25.498000000000001</v>
      </c>
      <c r="H744" s="57">
        <v>26.102399999999999</v>
      </c>
      <c r="I744" s="57">
        <v>25.618600000000001</v>
      </c>
      <c r="J744" s="33">
        <f t="shared" si="14"/>
        <v>0.60439999999999827</v>
      </c>
      <c r="K744" s="33">
        <f t="shared" si="15"/>
        <v>0.1205999999999996</v>
      </c>
    </row>
    <row r="745" spans="1:11" x14ac:dyDescent="0.2">
      <c r="A745" s="70">
        <v>44676</v>
      </c>
      <c r="B745" s="57">
        <v>2379</v>
      </c>
      <c r="C745" s="57" t="s">
        <v>173</v>
      </c>
      <c r="D745" s="57" t="s">
        <v>177</v>
      </c>
      <c r="E745" s="57" t="s">
        <v>175</v>
      </c>
      <c r="F745" s="57">
        <f t="shared" si="16"/>
        <v>0</v>
      </c>
      <c r="G745" s="57">
        <v>25.380600000000001</v>
      </c>
      <c r="H745" s="57">
        <v>25.696999999999999</v>
      </c>
      <c r="I745" s="57">
        <v>25.5124</v>
      </c>
      <c r="J745" s="33">
        <f t="shared" si="14"/>
        <v>0.31639999999999802</v>
      </c>
      <c r="K745" s="33">
        <f t="shared" si="15"/>
        <v>0.13179999999999836</v>
      </c>
    </row>
    <row r="746" spans="1:11" x14ac:dyDescent="0.2">
      <c r="A746" s="70">
        <v>44678</v>
      </c>
      <c r="B746" s="57">
        <v>2012</v>
      </c>
      <c r="C746" s="57" t="s">
        <v>173</v>
      </c>
      <c r="D746" s="57" t="s">
        <v>177</v>
      </c>
      <c r="E746" s="57" t="s">
        <v>175</v>
      </c>
      <c r="F746" s="57">
        <f t="shared" si="16"/>
        <v>0</v>
      </c>
      <c r="G746" s="57">
        <v>25.14</v>
      </c>
      <c r="H746" s="57">
        <v>26.574000000000002</v>
      </c>
      <c r="I746" s="57">
        <v>26.3261</v>
      </c>
      <c r="J746" s="33">
        <f t="shared" si="14"/>
        <v>1.4340000000000011</v>
      </c>
      <c r="K746" s="33">
        <f t="shared" si="15"/>
        <v>1.1860999999999997</v>
      </c>
    </row>
    <row r="747" spans="1:11" x14ac:dyDescent="0.2">
      <c r="A747" s="70">
        <v>44676</v>
      </c>
      <c r="B747" s="57">
        <v>2343</v>
      </c>
      <c r="C747" s="57" t="s">
        <v>176</v>
      </c>
      <c r="D747" s="57" t="s">
        <v>177</v>
      </c>
      <c r="E747" s="57" t="s">
        <v>175</v>
      </c>
      <c r="F747" s="57">
        <f t="shared" si="16"/>
        <v>0</v>
      </c>
      <c r="G747" s="57">
        <v>26.582799999999999</v>
      </c>
      <c r="H747" s="57">
        <v>26.487500000000001</v>
      </c>
      <c r="I747" s="57">
        <v>26.678899999999999</v>
      </c>
      <c r="J747" s="33">
        <f t="shared" si="14"/>
        <v>-9.5299999999998164E-2</v>
      </c>
      <c r="K747" s="33">
        <f t="shared" si="15"/>
        <v>9.6099999999999852E-2</v>
      </c>
    </row>
    <row r="748" spans="1:11" x14ac:dyDescent="0.2">
      <c r="A748" s="70">
        <v>44676</v>
      </c>
      <c r="B748" s="57">
        <v>2347</v>
      </c>
      <c r="C748" s="57" t="s">
        <v>176</v>
      </c>
      <c r="D748" s="57" t="s">
        <v>177</v>
      </c>
      <c r="E748" s="57" t="s">
        <v>178</v>
      </c>
      <c r="F748" s="57">
        <f t="shared" si="16"/>
        <v>0</v>
      </c>
      <c r="G748" s="57">
        <v>25.374300000000002</v>
      </c>
      <c r="H748" s="57">
        <v>29.000699999999998</v>
      </c>
      <c r="I748" s="57">
        <v>26.923100000000002</v>
      </c>
      <c r="J748" s="33">
        <f t="shared" si="14"/>
        <v>3.6263999999999967</v>
      </c>
      <c r="K748" s="33">
        <f t="shared" si="15"/>
        <v>1.5488</v>
      </c>
    </row>
    <row r="749" spans="1:11" x14ac:dyDescent="0.2">
      <c r="A749" s="70">
        <v>44678</v>
      </c>
      <c r="B749" s="57">
        <v>2091</v>
      </c>
      <c r="C749" s="57" t="s">
        <v>173</v>
      </c>
      <c r="D749" s="57" t="s">
        <v>177</v>
      </c>
      <c r="E749" s="57" t="s">
        <v>175</v>
      </c>
      <c r="F749" s="57">
        <f t="shared" si="16"/>
        <v>0</v>
      </c>
      <c r="G749" s="57">
        <v>26.434999999999999</v>
      </c>
      <c r="H749" s="57">
        <v>26.844999999999999</v>
      </c>
      <c r="I749" s="57">
        <v>26.591699999999999</v>
      </c>
      <c r="J749" s="33">
        <f t="shared" si="14"/>
        <v>0.41000000000000014</v>
      </c>
      <c r="K749" s="33">
        <f t="shared" si="15"/>
        <v>0.15670000000000073</v>
      </c>
    </row>
    <row r="750" spans="1:11" x14ac:dyDescent="0.2">
      <c r="A750" s="70">
        <v>44678</v>
      </c>
      <c r="B750" s="57">
        <v>2022</v>
      </c>
      <c r="C750" s="57" t="s">
        <v>173</v>
      </c>
      <c r="D750" s="57" t="s">
        <v>174</v>
      </c>
      <c r="E750" s="57" t="s">
        <v>175</v>
      </c>
      <c r="F750" s="57">
        <f t="shared" si="16"/>
        <v>1</v>
      </c>
      <c r="G750" s="57">
        <v>14.912800000000001</v>
      </c>
      <c r="H750" s="57">
        <v>16.381</v>
      </c>
      <c r="I750" s="57">
        <v>15.489000000000001</v>
      </c>
      <c r="J750" s="33">
        <f t="shared" si="14"/>
        <v>1.4681999999999995</v>
      </c>
      <c r="K750" s="33">
        <f t="shared" si="15"/>
        <v>0.57620000000000005</v>
      </c>
    </row>
    <row r="751" spans="1:11" x14ac:dyDescent="0.2">
      <c r="A751" s="70">
        <v>44676</v>
      </c>
      <c r="B751" s="57">
        <v>2354</v>
      </c>
      <c r="C751" s="57" t="s">
        <v>176</v>
      </c>
      <c r="D751" s="57" t="s">
        <v>177</v>
      </c>
      <c r="E751" s="57" t="s">
        <v>175</v>
      </c>
      <c r="F751" s="57">
        <f t="shared" si="16"/>
        <v>0</v>
      </c>
      <c r="G751" s="57">
        <v>26.184200000000001</v>
      </c>
      <c r="H751" s="57">
        <v>26.415500000000002</v>
      </c>
      <c r="I751" s="57">
        <v>26.289899999999999</v>
      </c>
      <c r="J751" s="33">
        <f t="shared" si="14"/>
        <v>0.23130000000000095</v>
      </c>
      <c r="K751" s="33">
        <f t="shared" si="15"/>
        <v>0.10569999999999879</v>
      </c>
    </row>
    <row r="752" spans="1:11" x14ac:dyDescent="0.2">
      <c r="A752" s="70">
        <v>44678</v>
      </c>
      <c r="B752" s="57">
        <v>2026</v>
      </c>
      <c r="C752" s="57" t="s">
        <v>173</v>
      </c>
      <c r="D752" s="57" t="s">
        <v>177</v>
      </c>
      <c r="E752" s="57" t="s">
        <v>178</v>
      </c>
      <c r="F752" s="57">
        <f t="shared" si="16"/>
        <v>0</v>
      </c>
      <c r="G752" s="57">
        <v>26.203700000000001</v>
      </c>
      <c r="H752" s="57">
        <v>32.308</v>
      </c>
      <c r="I752" s="57">
        <v>29.333300000000001</v>
      </c>
      <c r="J752" s="33">
        <f t="shared" si="14"/>
        <v>6.1042999999999985</v>
      </c>
      <c r="K752" s="33">
        <f t="shared" si="15"/>
        <v>3.1295999999999999</v>
      </c>
    </row>
    <row r="753" spans="1:11" x14ac:dyDescent="0.2">
      <c r="A753" s="70">
        <v>44676</v>
      </c>
      <c r="B753" s="57">
        <v>2352</v>
      </c>
      <c r="C753" s="57" t="s">
        <v>176</v>
      </c>
      <c r="D753" s="57" t="s">
        <v>174</v>
      </c>
      <c r="E753" s="57" t="s">
        <v>178</v>
      </c>
      <c r="F753" s="57">
        <f t="shared" si="16"/>
        <v>1</v>
      </c>
      <c r="G753" s="57">
        <v>25.637499999999999</v>
      </c>
      <c r="H753" s="57">
        <v>27.982600000000001</v>
      </c>
      <c r="I753" s="57">
        <v>26.9772</v>
      </c>
      <c r="J753" s="33">
        <f t="shared" si="14"/>
        <v>2.3451000000000022</v>
      </c>
      <c r="K753" s="33">
        <f t="shared" si="15"/>
        <v>1.3397000000000006</v>
      </c>
    </row>
    <row r="754" spans="1:11" x14ac:dyDescent="0.2">
      <c r="A754" s="70">
        <v>44676</v>
      </c>
      <c r="B754" s="57">
        <v>2384</v>
      </c>
      <c r="C754" s="57" t="s">
        <v>173</v>
      </c>
      <c r="D754" s="57" t="s">
        <v>177</v>
      </c>
      <c r="E754" s="57" t="s">
        <v>175</v>
      </c>
      <c r="F754" s="57">
        <f t="shared" si="16"/>
        <v>0</v>
      </c>
      <c r="G754" s="57">
        <v>15.3765</v>
      </c>
      <c r="H754" s="57">
        <v>15.166</v>
      </c>
      <c r="I754" s="57">
        <v>15.44</v>
      </c>
      <c r="J754" s="33">
        <f t="shared" si="14"/>
        <v>-0.21049999999999969</v>
      </c>
      <c r="K754" s="33">
        <f t="shared" si="15"/>
        <v>6.3499999999999446E-2</v>
      </c>
    </row>
    <row r="755" spans="1:11" x14ac:dyDescent="0.2">
      <c r="A755" s="70">
        <v>44676</v>
      </c>
      <c r="B755" s="57">
        <v>2383</v>
      </c>
      <c r="C755" s="57" t="s">
        <v>173</v>
      </c>
      <c r="D755" s="57" t="s">
        <v>177</v>
      </c>
      <c r="E755" s="57" t="s">
        <v>175</v>
      </c>
      <c r="F755" s="57">
        <f t="shared" si="16"/>
        <v>0</v>
      </c>
      <c r="G755" s="57">
        <v>25.546700000000001</v>
      </c>
      <c r="H755" s="57">
        <v>26.431999999999999</v>
      </c>
      <c r="I755" s="57">
        <v>25.7653</v>
      </c>
      <c r="J755" s="33">
        <f t="shared" si="14"/>
        <v>0.88529999999999731</v>
      </c>
      <c r="K755" s="33">
        <f t="shared" si="15"/>
        <v>0.21859999999999857</v>
      </c>
    </row>
    <row r="756" spans="1:11" x14ac:dyDescent="0.2">
      <c r="A756" s="70">
        <v>44676</v>
      </c>
      <c r="B756" s="57">
        <v>2343</v>
      </c>
      <c r="C756" s="57" t="s">
        <v>173</v>
      </c>
      <c r="D756" s="57" t="s">
        <v>177</v>
      </c>
      <c r="E756" s="57" t="s">
        <v>178</v>
      </c>
      <c r="F756" s="57">
        <f t="shared" si="16"/>
        <v>0</v>
      </c>
      <c r="G756" s="57">
        <v>26.011500000000002</v>
      </c>
      <c r="H756" s="57">
        <v>31.448</v>
      </c>
      <c r="I756" s="57">
        <v>28.659800000000001</v>
      </c>
      <c r="J756" s="33">
        <f t="shared" si="14"/>
        <v>5.4364999999999988</v>
      </c>
      <c r="K756" s="33">
        <f t="shared" si="15"/>
        <v>2.648299999999999</v>
      </c>
    </row>
    <row r="757" spans="1:11" x14ac:dyDescent="0.2">
      <c r="A757" s="70">
        <v>44676</v>
      </c>
      <c r="B757" s="57">
        <v>2360</v>
      </c>
      <c r="C757" s="57" t="s">
        <v>173</v>
      </c>
      <c r="D757" s="57" t="s">
        <v>177</v>
      </c>
      <c r="E757" s="57" t="s">
        <v>178</v>
      </c>
      <c r="F757" s="57">
        <f t="shared" si="16"/>
        <v>0</v>
      </c>
      <c r="G757" s="57">
        <v>25.385100000000001</v>
      </c>
      <c r="H757" s="57">
        <v>29.391999999999999</v>
      </c>
      <c r="I757" s="57">
        <v>27.378</v>
      </c>
      <c r="J757" s="33">
        <f t="shared" si="14"/>
        <v>4.0068999999999981</v>
      </c>
      <c r="K757" s="33">
        <f t="shared" si="15"/>
        <v>1.9928999999999988</v>
      </c>
    </row>
    <row r="758" spans="1:11" x14ac:dyDescent="0.2">
      <c r="A758" s="70">
        <v>44676</v>
      </c>
      <c r="B758" s="57">
        <v>2352</v>
      </c>
      <c r="C758" s="57" t="s">
        <v>173</v>
      </c>
      <c r="D758" s="57" t="s">
        <v>174</v>
      </c>
      <c r="E758" s="57" t="s">
        <v>175</v>
      </c>
      <c r="F758" s="57">
        <f t="shared" si="16"/>
        <v>1</v>
      </c>
      <c r="G758" s="57">
        <v>16.098299999999998</v>
      </c>
      <c r="H758" s="57">
        <v>17.268999999999998</v>
      </c>
      <c r="I758" s="57">
        <v>16.794699999999999</v>
      </c>
      <c r="J758" s="33">
        <f t="shared" si="14"/>
        <v>1.1707000000000001</v>
      </c>
      <c r="K758" s="33">
        <f t="shared" si="15"/>
        <v>0.69640000000000057</v>
      </c>
    </row>
    <row r="759" spans="1:11" x14ac:dyDescent="0.2">
      <c r="A759" s="70">
        <v>44678</v>
      </c>
      <c r="B759" s="57">
        <v>2022</v>
      </c>
      <c r="C759" s="57" t="s">
        <v>173</v>
      </c>
      <c r="D759" s="57" t="s">
        <v>177</v>
      </c>
      <c r="E759" s="57" t="s">
        <v>178</v>
      </c>
      <c r="F759" s="57">
        <f t="shared" si="16"/>
        <v>0</v>
      </c>
      <c r="G759" s="57">
        <v>25.908999999999999</v>
      </c>
      <c r="H759" s="57">
        <v>32.607999999999997</v>
      </c>
      <c r="I759" s="57">
        <v>29.979600000000001</v>
      </c>
      <c r="J759" s="33">
        <f t="shared" si="14"/>
        <v>6.6989999999999981</v>
      </c>
      <c r="K759" s="33">
        <f t="shared" si="15"/>
        <v>4.0706000000000024</v>
      </c>
    </row>
    <row r="760" spans="1:11" x14ac:dyDescent="0.2">
      <c r="A760" s="70">
        <v>44676</v>
      </c>
      <c r="B760" s="57">
        <v>2378</v>
      </c>
      <c r="C760" s="57" t="s">
        <v>176</v>
      </c>
      <c r="D760" s="57" t="s">
        <v>177</v>
      </c>
      <c r="E760" s="57" t="s">
        <v>175</v>
      </c>
      <c r="F760" s="57">
        <f t="shared" si="16"/>
        <v>0</v>
      </c>
      <c r="G760" s="57">
        <v>26.319199999999999</v>
      </c>
      <c r="H760" s="57">
        <v>26.5913</v>
      </c>
      <c r="I760" s="57">
        <v>26.468599999999999</v>
      </c>
      <c r="J760" s="33">
        <f t="shared" si="14"/>
        <v>0.27210000000000178</v>
      </c>
      <c r="K760" s="33">
        <f t="shared" si="15"/>
        <v>0.14939999999999998</v>
      </c>
    </row>
    <row r="761" spans="1:11" x14ac:dyDescent="0.2">
      <c r="A761" s="70">
        <v>44678</v>
      </c>
      <c r="B761" s="57">
        <v>2086</v>
      </c>
      <c r="C761" s="57" t="s">
        <v>173</v>
      </c>
      <c r="D761" s="57" t="s">
        <v>177</v>
      </c>
      <c r="E761" s="57" t="s">
        <v>175</v>
      </c>
      <c r="F761" s="57">
        <f t="shared" si="16"/>
        <v>0</v>
      </c>
      <c r="G761" s="57">
        <v>15.2644</v>
      </c>
      <c r="H761" s="57">
        <v>16.577000000000002</v>
      </c>
      <c r="I761" s="57">
        <v>15.818</v>
      </c>
      <c r="J761" s="33">
        <f t="shared" si="14"/>
        <v>1.3126000000000015</v>
      </c>
      <c r="K761" s="33">
        <f t="shared" si="15"/>
        <v>0.55359999999999943</v>
      </c>
    </row>
    <row r="762" spans="1:11" x14ac:dyDescent="0.2">
      <c r="A762" s="70">
        <v>44676</v>
      </c>
      <c r="B762" s="57">
        <v>2371</v>
      </c>
      <c r="C762" s="57" t="s">
        <v>176</v>
      </c>
      <c r="D762" s="57" t="s">
        <v>177</v>
      </c>
      <c r="E762" s="57" t="s">
        <v>175</v>
      </c>
      <c r="F762" s="57">
        <f t="shared" si="16"/>
        <v>0</v>
      </c>
      <c r="G762" s="57">
        <v>26.624300000000002</v>
      </c>
      <c r="H762" s="57">
        <v>26.890699999999999</v>
      </c>
      <c r="I762" s="57">
        <v>26.874700000000001</v>
      </c>
      <c r="J762" s="33">
        <f t="shared" si="14"/>
        <v>0.26639999999999731</v>
      </c>
      <c r="K762" s="33">
        <f t="shared" si="15"/>
        <v>0.25039999999999907</v>
      </c>
    </row>
    <row r="763" spans="1:11" x14ac:dyDescent="0.2">
      <c r="A763" s="70">
        <v>44678</v>
      </c>
      <c r="B763" s="57">
        <v>2006</v>
      </c>
      <c r="C763" s="57" t="s">
        <v>173</v>
      </c>
      <c r="D763" s="57" t="s">
        <v>177</v>
      </c>
      <c r="E763" s="57" t="s">
        <v>175</v>
      </c>
      <c r="F763" s="57">
        <f t="shared" si="16"/>
        <v>0</v>
      </c>
      <c r="G763" s="57">
        <v>25.845700000000001</v>
      </c>
      <c r="H763" s="57">
        <v>26.501000000000001</v>
      </c>
      <c r="I763" s="57">
        <v>25.947600000000001</v>
      </c>
      <c r="J763" s="33">
        <f t="shared" si="14"/>
        <v>0.65530000000000044</v>
      </c>
      <c r="K763" s="33">
        <f t="shared" si="15"/>
        <v>0.10190000000000055</v>
      </c>
    </row>
    <row r="764" spans="1:11" x14ac:dyDescent="0.2">
      <c r="A764" s="70">
        <v>44676</v>
      </c>
      <c r="B764" s="57">
        <v>2301</v>
      </c>
      <c r="C764" s="57" t="s">
        <v>176</v>
      </c>
      <c r="D764" s="57" t="s">
        <v>174</v>
      </c>
      <c r="E764" s="57" t="s">
        <v>178</v>
      </c>
      <c r="F764" s="57">
        <f t="shared" si="16"/>
        <v>1</v>
      </c>
      <c r="G764" s="57">
        <v>25.752400000000002</v>
      </c>
      <c r="H764" s="57">
        <v>31.659300000000002</v>
      </c>
      <c r="I764" s="57">
        <v>29.178000000000001</v>
      </c>
      <c r="J764" s="33">
        <f t="shared" si="14"/>
        <v>5.9069000000000003</v>
      </c>
      <c r="K764" s="33">
        <f t="shared" si="15"/>
        <v>3.4255999999999993</v>
      </c>
    </row>
    <row r="765" spans="1:11" x14ac:dyDescent="0.2">
      <c r="A765" s="70">
        <v>44676</v>
      </c>
      <c r="B765" s="57">
        <v>2376</v>
      </c>
      <c r="C765" s="57" t="s">
        <v>176</v>
      </c>
      <c r="D765" s="57" t="s">
        <v>174</v>
      </c>
      <c r="E765" s="57" t="s">
        <v>178</v>
      </c>
      <c r="F765" s="57">
        <f t="shared" si="16"/>
        <v>1</v>
      </c>
      <c r="G765" s="57">
        <v>25.738600000000002</v>
      </c>
      <c r="H765" s="57">
        <v>30.9</v>
      </c>
      <c r="I765" s="57">
        <v>28.719000000000001</v>
      </c>
      <c r="J765" s="33">
        <f t="shared" si="14"/>
        <v>5.1613999999999969</v>
      </c>
      <c r="K765" s="33">
        <f t="shared" si="15"/>
        <v>2.9803999999999995</v>
      </c>
    </row>
    <row r="766" spans="1:11" x14ac:dyDescent="0.2">
      <c r="A766" s="70">
        <v>44676</v>
      </c>
      <c r="B766" s="57">
        <v>2376</v>
      </c>
      <c r="C766" s="57" t="s">
        <v>176</v>
      </c>
      <c r="D766" s="57" t="s">
        <v>174</v>
      </c>
      <c r="E766" s="57" t="s">
        <v>175</v>
      </c>
      <c r="F766" s="57">
        <f t="shared" si="16"/>
        <v>1</v>
      </c>
      <c r="G766" s="57">
        <v>25.938099999999999</v>
      </c>
      <c r="H766" s="57">
        <v>27.1828</v>
      </c>
      <c r="I766" s="57">
        <v>26.423200000000001</v>
      </c>
      <c r="J766" s="33">
        <f t="shared" si="14"/>
        <v>1.2447000000000017</v>
      </c>
      <c r="K766" s="33">
        <f t="shared" si="15"/>
        <v>0.48510000000000275</v>
      </c>
    </row>
    <row r="767" spans="1:11" x14ac:dyDescent="0.2">
      <c r="A767" s="70">
        <v>44676</v>
      </c>
      <c r="B767" s="57">
        <v>2367</v>
      </c>
      <c r="C767" s="57" t="s">
        <v>176</v>
      </c>
      <c r="D767" s="57" t="s">
        <v>177</v>
      </c>
      <c r="E767" s="57" t="s">
        <v>175</v>
      </c>
      <c r="F767" s="57">
        <f t="shared" si="16"/>
        <v>0</v>
      </c>
      <c r="G767" s="57">
        <v>25.854900000000001</v>
      </c>
      <c r="H767" s="57">
        <v>25.583300000000001</v>
      </c>
      <c r="I767" s="57">
        <v>25.8977</v>
      </c>
      <c r="J767" s="33">
        <f t="shared" ref="J767:J1021" si="17">H767-G767</f>
        <v>-0.2715999999999994</v>
      </c>
      <c r="K767" s="33">
        <f t="shared" ref="K767:K1021" si="18">I767-G767</f>
        <v>4.2799999999999727E-2</v>
      </c>
    </row>
    <row r="768" spans="1:11" x14ac:dyDescent="0.2">
      <c r="A768" s="70">
        <v>44676</v>
      </c>
      <c r="B768" s="57">
        <v>2377</v>
      </c>
      <c r="C768" s="57" t="s">
        <v>176</v>
      </c>
      <c r="D768" s="57" t="s">
        <v>177</v>
      </c>
      <c r="E768" s="57" t="s">
        <v>178</v>
      </c>
      <c r="F768" s="57">
        <f t="shared" si="16"/>
        <v>0</v>
      </c>
      <c r="G768" s="57">
        <v>15.533799999999999</v>
      </c>
      <c r="H768" s="57">
        <v>16.338799999999999</v>
      </c>
      <c r="I768" s="57">
        <v>15.81</v>
      </c>
      <c r="J768" s="33">
        <f t="shared" si="17"/>
        <v>0.80499999999999972</v>
      </c>
      <c r="K768" s="33">
        <f t="shared" si="18"/>
        <v>0.27620000000000111</v>
      </c>
    </row>
    <row r="769" spans="1:12" x14ac:dyDescent="0.2">
      <c r="A769" s="70">
        <v>44678</v>
      </c>
      <c r="B769" s="57">
        <v>2027</v>
      </c>
      <c r="C769" s="57" t="s">
        <v>173</v>
      </c>
      <c r="D769" s="57" t="s">
        <v>177</v>
      </c>
      <c r="E769" s="57" t="s">
        <v>175</v>
      </c>
      <c r="F769" s="57">
        <f t="shared" si="16"/>
        <v>0</v>
      </c>
      <c r="G769" s="57">
        <v>26.463000000000001</v>
      </c>
      <c r="H769" s="57">
        <v>26.722000000000001</v>
      </c>
      <c r="I769" s="57">
        <v>26.597799999999999</v>
      </c>
      <c r="J769" s="33">
        <f t="shared" si="17"/>
        <v>0.25900000000000034</v>
      </c>
      <c r="K769" s="33">
        <f t="shared" si="18"/>
        <v>0.13479999999999848</v>
      </c>
    </row>
    <row r="770" spans="1:12" x14ac:dyDescent="0.2">
      <c r="A770" s="70">
        <v>44676</v>
      </c>
      <c r="B770" s="57">
        <v>2365</v>
      </c>
      <c r="C770" s="57" t="s">
        <v>173</v>
      </c>
      <c r="D770" s="57" t="s">
        <v>177</v>
      </c>
      <c r="E770" s="57" t="s">
        <v>175</v>
      </c>
      <c r="F770" s="57">
        <f t="shared" si="16"/>
        <v>0</v>
      </c>
      <c r="G770" s="57">
        <v>26.004899999999999</v>
      </c>
      <c r="H770" s="57">
        <v>26.494</v>
      </c>
      <c r="I770" s="57">
        <v>26.2621</v>
      </c>
      <c r="J770" s="33">
        <f t="shared" si="17"/>
        <v>0.48910000000000053</v>
      </c>
      <c r="K770" s="33">
        <f t="shared" si="18"/>
        <v>0.25720000000000098</v>
      </c>
    </row>
    <row r="771" spans="1:12" x14ac:dyDescent="0.2">
      <c r="A771" s="70">
        <v>44676</v>
      </c>
      <c r="B771" s="57">
        <v>2384</v>
      </c>
      <c r="C771" s="57" t="s">
        <v>176</v>
      </c>
      <c r="D771" s="57" t="s">
        <v>177</v>
      </c>
      <c r="E771" s="57" t="s">
        <v>175</v>
      </c>
      <c r="F771" s="57">
        <f t="shared" si="16"/>
        <v>0</v>
      </c>
      <c r="G771" s="57">
        <v>26.176100000000002</v>
      </c>
      <c r="H771" s="57">
        <v>26.3079</v>
      </c>
      <c r="I771" s="57">
        <v>26.208400000000001</v>
      </c>
      <c r="J771" s="33">
        <f t="shared" si="17"/>
        <v>0.13179999999999836</v>
      </c>
      <c r="K771" s="33">
        <f t="shared" si="18"/>
        <v>3.2299999999999329E-2</v>
      </c>
    </row>
    <row r="772" spans="1:12" x14ac:dyDescent="0.2">
      <c r="A772" s="70">
        <v>44676</v>
      </c>
      <c r="B772" s="57">
        <v>2127</v>
      </c>
      <c r="C772" s="57" t="s">
        <v>173</v>
      </c>
      <c r="D772" s="57" t="s">
        <v>177</v>
      </c>
      <c r="E772" s="57" t="s">
        <v>175</v>
      </c>
      <c r="F772" s="57">
        <f t="shared" si="16"/>
        <v>0</v>
      </c>
      <c r="G772" s="57">
        <v>16.197099999999999</v>
      </c>
      <c r="H772" s="57">
        <v>16.940999999999999</v>
      </c>
      <c r="I772" s="57">
        <v>16.524999999999999</v>
      </c>
      <c r="J772" s="33">
        <f t="shared" si="17"/>
        <v>0.74390000000000001</v>
      </c>
      <c r="K772" s="33">
        <f t="shared" si="18"/>
        <v>0.32789999999999964</v>
      </c>
    </row>
    <row r="773" spans="1:12" x14ac:dyDescent="0.2">
      <c r="A773" s="70">
        <v>44684</v>
      </c>
      <c r="B773" s="57" t="s">
        <v>181</v>
      </c>
      <c r="C773" s="57" t="s">
        <v>176</v>
      </c>
      <c r="D773" s="57" t="s">
        <v>177</v>
      </c>
      <c r="E773" s="57" t="s">
        <v>178</v>
      </c>
      <c r="F773" s="57">
        <f t="shared" si="16"/>
        <v>0</v>
      </c>
      <c r="G773" s="57">
        <v>66.942999999999998</v>
      </c>
      <c r="H773" s="57">
        <v>74.079300000000003</v>
      </c>
      <c r="I773" s="57">
        <v>68.645399999999995</v>
      </c>
      <c r="J773" s="33">
        <f t="shared" si="17"/>
        <v>7.1363000000000056</v>
      </c>
      <c r="K773" s="33">
        <f t="shared" si="18"/>
        <v>1.7023999999999972</v>
      </c>
      <c r="L773" s="57">
        <v>5</v>
      </c>
    </row>
    <row r="774" spans="1:12" x14ac:dyDescent="0.2">
      <c r="A774" s="70">
        <v>44684</v>
      </c>
      <c r="B774" s="57" t="s">
        <v>181</v>
      </c>
      <c r="C774" s="57" t="s">
        <v>176</v>
      </c>
      <c r="D774" s="57" t="s">
        <v>177</v>
      </c>
      <c r="E774" s="57" t="s">
        <v>178</v>
      </c>
      <c r="F774" s="57">
        <f t="shared" si="16"/>
        <v>0</v>
      </c>
      <c r="G774" s="57">
        <v>67.560500000000005</v>
      </c>
      <c r="H774" s="57">
        <v>76.467600000000004</v>
      </c>
      <c r="I774" s="57">
        <v>69.387799999999999</v>
      </c>
      <c r="J774" s="33">
        <f t="shared" si="17"/>
        <v>8.9070999999999998</v>
      </c>
      <c r="K774" s="33">
        <f t="shared" si="18"/>
        <v>1.8272999999999939</v>
      </c>
      <c r="L774" s="57">
        <v>2.1</v>
      </c>
    </row>
    <row r="775" spans="1:12" x14ac:dyDescent="0.2">
      <c r="A775" s="70">
        <v>44684</v>
      </c>
      <c r="B775" s="57" t="s">
        <v>142</v>
      </c>
      <c r="C775" s="57" t="s">
        <v>176</v>
      </c>
      <c r="D775" s="57" t="s">
        <v>177</v>
      </c>
      <c r="E775" s="57" t="s">
        <v>175</v>
      </c>
      <c r="F775" s="57">
        <f t="shared" si="16"/>
        <v>0</v>
      </c>
      <c r="G775" s="57">
        <v>68.253399999999999</v>
      </c>
      <c r="H775" s="57">
        <v>69.431799999999996</v>
      </c>
      <c r="I775" s="57">
        <v>68.488200000000006</v>
      </c>
      <c r="J775" s="33">
        <f t="shared" si="17"/>
        <v>1.1783999999999963</v>
      </c>
      <c r="K775" s="33">
        <f t="shared" si="18"/>
        <v>0.234800000000007</v>
      </c>
      <c r="L775" s="57">
        <v>3</v>
      </c>
    </row>
    <row r="776" spans="1:12" x14ac:dyDescent="0.2">
      <c r="A776" s="70">
        <v>44684</v>
      </c>
      <c r="B776" s="57" t="s">
        <v>182</v>
      </c>
      <c r="C776" s="57" t="s">
        <v>176</v>
      </c>
      <c r="D776" s="57" t="s">
        <v>177</v>
      </c>
      <c r="E776" s="57" t="s">
        <v>178</v>
      </c>
      <c r="F776" s="57">
        <f t="shared" si="16"/>
        <v>0</v>
      </c>
      <c r="G776" s="57">
        <v>68.320899999999995</v>
      </c>
      <c r="H776" s="57">
        <v>72.421499999999995</v>
      </c>
      <c r="I776" s="57">
        <v>69.629499999999993</v>
      </c>
      <c r="J776" s="33">
        <f t="shared" si="17"/>
        <v>4.1006</v>
      </c>
      <c r="K776" s="33">
        <f t="shared" si="18"/>
        <v>1.3085999999999984</v>
      </c>
      <c r="L776" s="57">
        <v>5</v>
      </c>
    </row>
    <row r="777" spans="1:12" x14ac:dyDescent="0.2">
      <c r="A777" s="70">
        <v>44684</v>
      </c>
      <c r="B777" s="57" t="s">
        <v>182</v>
      </c>
      <c r="C777" s="57" t="s">
        <v>176</v>
      </c>
      <c r="D777" s="57" t="s">
        <v>177</v>
      </c>
      <c r="E777" s="57" t="s">
        <v>178</v>
      </c>
      <c r="F777" s="57">
        <f t="shared" si="16"/>
        <v>0</v>
      </c>
      <c r="G777" s="57">
        <v>68.901399999999995</v>
      </c>
      <c r="H777" s="57">
        <v>72.456000000000003</v>
      </c>
      <c r="I777" s="57">
        <v>70.170599999999993</v>
      </c>
      <c r="J777" s="33">
        <f t="shared" si="17"/>
        <v>3.5546000000000078</v>
      </c>
      <c r="K777" s="33">
        <f t="shared" si="18"/>
        <v>1.2691999999999979</v>
      </c>
      <c r="L777" s="57">
        <v>3</v>
      </c>
    </row>
    <row r="778" spans="1:12" x14ac:dyDescent="0.2">
      <c r="A778" s="70">
        <v>44684</v>
      </c>
      <c r="B778" s="57" t="s">
        <v>142</v>
      </c>
      <c r="C778" s="57" t="s">
        <v>176</v>
      </c>
      <c r="D778" s="57" t="s">
        <v>177</v>
      </c>
      <c r="E778" s="57" t="s">
        <v>175</v>
      </c>
      <c r="F778" s="57">
        <f t="shared" si="16"/>
        <v>0</v>
      </c>
      <c r="G778" s="57">
        <v>67.934799999999996</v>
      </c>
      <c r="H778" s="57">
        <v>68.366299999999995</v>
      </c>
      <c r="I778" s="57">
        <v>68.007199999999997</v>
      </c>
      <c r="J778" s="33">
        <f t="shared" si="17"/>
        <v>0.43149999999999977</v>
      </c>
      <c r="K778" s="33">
        <f t="shared" si="18"/>
        <v>7.2400000000001796E-2</v>
      </c>
      <c r="L778" s="57">
        <v>4</v>
      </c>
    </row>
    <row r="779" spans="1:12" x14ac:dyDescent="0.2">
      <c r="A779" s="70">
        <v>44684</v>
      </c>
      <c r="B779" s="57" t="s">
        <v>182</v>
      </c>
      <c r="C779" s="57" t="s">
        <v>176</v>
      </c>
      <c r="D779" s="57" t="s">
        <v>177</v>
      </c>
      <c r="E779" s="57" t="s">
        <v>178</v>
      </c>
      <c r="F779" s="57">
        <f t="shared" si="16"/>
        <v>0</v>
      </c>
      <c r="G779" s="57">
        <v>67.424300000000002</v>
      </c>
      <c r="H779" s="57">
        <v>72.532799999999995</v>
      </c>
      <c r="I779" s="57">
        <v>68.935299999999998</v>
      </c>
      <c r="J779" s="33">
        <f t="shared" si="17"/>
        <v>5.1084999999999923</v>
      </c>
      <c r="K779" s="33">
        <f t="shared" si="18"/>
        <v>1.5109999999999957</v>
      </c>
      <c r="L779" s="57">
        <v>4</v>
      </c>
    </row>
    <row r="780" spans="1:12" x14ac:dyDescent="0.2">
      <c r="A780" s="70">
        <v>44684</v>
      </c>
      <c r="B780" s="57" t="s">
        <v>142</v>
      </c>
      <c r="C780" s="57" t="s">
        <v>176</v>
      </c>
      <c r="D780" s="57" t="s">
        <v>177</v>
      </c>
      <c r="E780" s="57" t="s">
        <v>175</v>
      </c>
      <c r="F780" s="57">
        <f t="shared" si="16"/>
        <v>0</v>
      </c>
      <c r="G780" s="57">
        <v>67.536799999999999</v>
      </c>
      <c r="H780" s="57">
        <v>68.305199999999999</v>
      </c>
      <c r="I780" s="57">
        <v>67.684700000000007</v>
      </c>
      <c r="J780" s="33">
        <f t="shared" si="17"/>
        <v>0.76839999999999975</v>
      </c>
      <c r="K780" s="33">
        <f t="shared" si="18"/>
        <v>0.14790000000000703</v>
      </c>
      <c r="L780" s="57">
        <v>5</v>
      </c>
    </row>
    <row r="781" spans="1:12" x14ac:dyDescent="0.2">
      <c r="A781" s="70">
        <v>44684</v>
      </c>
      <c r="B781" s="57" t="s">
        <v>181</v>
      </c>
      <c r="C781" s="57" t="s">
        <v>176</v>
      </c>
      <c r="D781" s="57" t="s">
        <v>177</v>
      </c>
      <c r="E781" s="57" t="s">
        <v>178</v>
      </c>
      <c r="F781" s="57">
        <f t="shared" si="16"/>
        <v>0</v>
      </c>
      <c r="G781" s="57">
        <v>68.478899999999996</v>
      </c>
      <c r="H781" s="57">
        <v>76.465100000000007</v>
      </c>
      <c r="I781" s="57">
        <v>69.991900000000001</v>
      </c>
      <c r="J781" s="33">
        <f t="shared" si="17"/>
        <v>7.9862000000000108</v>
      </c>
      <c r="K781" s="33">
        <f t="shared" si="18"/>
        <v>1.5130000000000052</v>
      </c>
      <c r="L781" s="57">
        <v>2.2000000000000002</v>
      </c>
    </row>
    <row r="782" spans="1:12" x14ac:dyDescent="0.2">
      <c r="A782" s="70">
        <v>44684</v>
      </c>
      <c r="B782" s="57" t="s">
        <v>142</v>
      </c>
      <c r="C782" s="57" t="s">
        <v>176</v>
      </c>
      <c r="D782" s="57" t="s">
        <v>177</v>
      </c>
      <c r="E782" s="57" t="s">
        <v>175</v>
      </c>
      <c r="F782" s="57">
        <f t="shared" si="16"/>
        <v>0</v>
      </c>
      <c r="G782" s="57">
        <v>67.292100000000005</v>
      </c>
      <c r="H782" s="57">
        <v>67.905500000000004</v>
      </c>
      <c r="I782" s="57">
        <v>67.414100000000005</v>
      </c>
      <c r="J782" s="33">
        <f t="shared" si="17"/>
        <v>0.61339999999999861</v>
      </c>
      <c r="K782" s="33">
        <f t="shared" si="18"/>
        <v>0.12199999999999989</v>
      </c>
      <c r="L782" s="57">
        <v>1</v>
      </c>
    </row>
    <row r="783" spans="1:12" x14ac:dyDescent="0.2">
      <c r="A783" s="70">
        <v>44684</v>
      </c>
      <c r="B783" s="57" t="s">
        <v>181</v>
      </c>
      <c r="C783" s="57" t="s">
        <v>176</v>
      </c>
      <c r="D783" s="57" t="s">
        <v>177</v>
      </c>
      <c r="E783" s="57" t="s">
        <v>178</v>
      </c>
      <c r="F783" s="57">
        <f t="shared" si="16"/>
        <v>0</v>
      </c>
      <c r="G783" s="57">
        <v>67.015299999999996</v>
      </c>
      <c r="H783" s="57">
        <v>72.1798</v>
      </c>
      <c r="I783" s="57">
        <v>68.364900000000006</v>
      </c>
      <c r="J783" s="33">
        <f t="shared" si="17"/>
        <v>5.1645000000000039</v>
      </c>
      <c r="K783" s="33">
        <f t="shared" si="18"/>
        <v>1.3496000000000095</v>
      </c>
      <c r="L783" s="57">
        <v>1</v>
      </c>
    </row>
    <row r="784" spans="1:12" x14ac:dyDescent="0.2">
      <c r="A784" s="70">
        <v>44676</v>
      </c>
      <c r="B784" s="57">
        <v>2347</v>
      </c>
      <c r="C784" s="57" t="s">
        <v>176</v>
      </c>
      <c r="D784" s="57" t="s">
        <v>177</v>
      </c>
      <c r="E784" s="57" t="s">
        <v>175</v>
      </c>
      <c r="F784" s="57">
        <f t="shared" si="16"/>
        <v>0</v>
      </c>
      <c r="G784" s="57">
        <v>25.734000000000002</v>
      </c>
      <c r="H784" s="57">
        <v>25.6617</v>
      </c>
      <c r="I784" s="57">
        <v>25.873999999999999</v>
      </c>
      <c r="J784" s="33">
        <f t="shared" si="17"/>
        <v>-7.2300000000002029E-2</v>
      </c>
      <c r="K784" s="33">
        <f t="shared" si="18"/>
        <v>0.13999999999999702</v>
      </c>
    </row>
    <row r="785" spans="1:11" x14ac:dyDescent="0.2">
      <c r="A785" s="70">
        <v>44676</v>
      </c>
      <c r="B785" s="57">
        <v>2354</v>
      </c>
      <c r="C785" s="57" t="s">
        <v>176</v>
      </c>
      <c r="D785" s="57" t="s">
        <v>174</v>
      </c>
      <c r="E785" s="57" t="s">
        <v>175</v>
      </c>
      <c r="F785" s="57">
        <f t="shared" si="16"/>
        <v>1</v>
      </c>
      <c r="G785" s="57">
        <v>26.129799999999999</v>
      </c>
      <c r="H785" s="57">
        <v>27.580100000000002</v>
      </c>
      <c r="I785" s="57">
        <v>26.673500000000001</v>
      </c>
      <c r="J785" s="33">
        <f t="shared" si="17"/>
        <v>1.4503000000000021</v>
      </c>
      <c r="K785" s="33">
        <f t="shared" si="18"/>
        <v>0.54370000000000118</v>
      </c>
    </row>
    <row r="786" spans="1:11" x14ac:dyDescent="0.2">
      <c r="A786" s="70">
        <v>44676</v>
      </c>
      <c r="B786" s="57">
        <v>2009</v>
      </c>
      <c r="C786" s="57" t="s">
        <v>176</v>
      </c>
      <c r="D786" s="57" t="s">
        <v>177</v>
      </c>
      <c r="E786" s="57" t="s">
        <v>178</v>
      </c>
      <c r="F786" s="57">
        <f t="shared" si="16"/>
        <v>0</v>
      </c>
      <c r="G786" s="57">
        <v>25.4085</v>
      </c>
      <c r="H786" s="57">
        <v>28.8169</v>
      </c>
      <c r="I786" s="57">
        <v>27.191400000000002</v>
      </c>
      <c r="J786" s="33">
        <f t="shared" si="17"/>
        <v>3.4084000000000003</v>
      </c>
      <c r="K786" s="33">
        <f t="shared" si="18"/>
        <v>1.7829000000000015</v>
      </c>
    </row>
    <row r="787" spans="1:11" x14ac:dyDescent="0.2">
      <c r="A787" s="70">
        <v>44676</v>
      </c>
      <c r="B787" s="57">
        <v>2383</v>
      </c>
      <c r="C787" s="57" t="s">
        <v>176</v>
      </c>
      <c r="D787" s="57" t="s">
        <v>177</v>
      </c>
      <c r="E787" s="57" t="s">
        <v>178</v>
      </c>
      <c r="F787" s="57">
        <f t="shared" si="16"/>
        <v>0</v>
      </c>
      <c r="G787" s="57">
        <v>26.507899999999999</v>
      </c>
      <c r="H787" s="57">
        <v>29.6691</v>
      </c>
      <c r="I787" s="57">
        <v>28.2179</v>
      </c>
      <c r="J787" s="33">
        <f t="shared" si="17"/>
        <v>3.1612000000000009</v>
      </c>
      <c r="K787" s="33">
        <f t="shared" si="18"/>
        <v>1.7100000000000009</v>
      </c>
    </row>
    <row r="788" spans="1:11" x14ac:dyDescent="0.2">
      <c r="A788" s="70">
        <v>44678</v>
      </c>
      <c r="B788" s="57">
        <v>2022</v>
      </c>
      <c r="C788" s="57" t="s">
        <v>173</v>
      </c>
      <c r="D788" s="57" t="s">
        <v>174</v>
      </c>
      <c r="E788" s="57" t="s">
        <v>178</v>
      </c>
      <c r="F788" s="57">
        <f t="shared" si="16"/>
        <v>1</v>
      </c>
      <c r="G788" s="57">
        <v>25.478999999999999</v>
      </c>
      <c r="H788" s="57">
        <v>31.344999999999999</v>
      </c>
      <c r="I788" s="57">
        <v>28.745100000000001</v>
      </c>
      <c r="J788" s="33">
        <f t="shared" si="17"/>
        <v>5.8659999999999997</v>
      </c>
      <c r="K788" s="33">
        <f t="shared" si="18"/>
        <v>3.2661000000000016</v>
      </c>
    </row>
    <row r="789" spans="1:11" x14ac:dyDescent="0.2">
      <c r="A789" s="70">
        <v>44676</v>
      </c>
      <c r="B789" s="57">
        <v>2377</v>
      </c>
      <c r="C789" s="57" t="s">
        <v>176</v>
      </c>
      <c r="D789" s="57" t="s">
        <v>174</v>
      </c>
      <c r="E789" s="57" t="s">
        <v>178</v>
      </c>
      <c r="F789" s="57">
        <f t="shared" si="16"/>
        <v>1</v>
      </c>
      <c r="G789" s="57">
        <v>25.822800000000001</v>
      </c>
      <c r="H789" s="57">
        <v>29.472100000000001</v>
      </c>
      <c r="I789" s="57">
        <v>28.243300000000001</v>
      </c>
      <c r="J789" s="33">
        <f t="shared" si="17"/>
        <v>3.6493000000000002</v>
      </c>
      <c r="K789" s="33">
        <f t="shared" si="18"/>
        <v>2.4205000000000005</v>
      </c>
    </row>
    <row r="790" spans="1:11" x14ac:dyDescent="0.2">
      <c r="A790" s="70">
        <v>44676</v>
      </c>
      <c r="B790" s="57">
        <v>2360</v>
      </c>
      <c r="C790" s="57" t="s">
        <v>176</v>
      </c>
      <c r="D790" s="57" t="s">
        <v>177</v>
      </c>
      <c r="E790" s="57" t="s">
        <v>178</v>
      </c>
      <c r="F790" s="57">
        <f t="shared" si="16"/>
        <v>0</v>
      </c>
      <c r="G790" s="57">
        <v>26.154900000000001</v>
      </c>
      <c r="H790" s="57">
        <v>28.518999999999998</v>
      </c>
      <c r="I790" s="57">
        <v>27.527200000000001</v>
      </c>
      <c r="J790" s="33">
        <f t="shared" si="17"/>
        <v>2.364099999999997</v>
      </c>
      <c r="K790" s="33">
        <f t="shared" si="18"/>
        <v>1.3722999999999992</v>
      </c>
    </row>
    <row r="791" spans="1:11" x14ac:dyDescent="0.2">
      <c r="A791" s="70">
        <v>44678</v>
      </c>
      <c r="B791" s="57">
        <v>2027</v>
      </c>
      <c r="C791" s="57" t="s">
        <v>173</v>
      </c>
      <c r="D791" s="57" t="s">
        <v>177</v>
      </c>
      <c r="E791" s="57" t="s">
        <v>178</v>
      </c>
      <c r="F791" s="57">
        <f t="shared" si="16"/>
        <v>0</v>
      </c>
      <c r="G791" s="57">
        <v>26.005099999999999</v>
      </c>
      <c r="H791" s="57">
        <v>30.077999999999999</v>
      </c>
      <c r="I791" s="57">
        <v>28.034300000000002</v>
      </c>
      <c r="J791" s="33">
        <f t="shared" si="17"/>
        <v>4.0729000000000006</v>
      </c>
      <c r="K791" s="33">
        <f t="shared" si="18"/>
        <v>2.029200000000003</v>
      </c>
    </row>
    <row r="792" spans="1:11" x14ac:dyDescent="0.2">
      <c r="A792" s="70">
        <v>44678</v>
      </c>
      <c r="B792" s="57">
        <v>2089</v>
      </c>
      <c r="C792" s="57" t="s">
        <v>173</v>
      </c>
      <c r="D792" s="57" t="s">
        <v>177</v>
      </c>
      <c r="E792" s="57" t="s">
        <v>178</v>
      </c>
      <c r="F792" s="57">
        <f t="shared" si="16"/>
        <v>0</v>
      </c>
      <c r="G792" s="57">
        <v>25.9236</v>
      </c>
      <c r="H792" s="57">
        <v>26.555</v>
      </c>
      <c r="I792" s="57">
        <v>26.0426</v>
      </c>
      <c r="J792" s="33">
        <f t="shared" si="17"/>
        <v>0.6313999999999993</v>
      </c>
      <c r="K792" s="33">
        <f t="shared" si="18"/>
        <v>0.11899999999999977</v>
      </c>
    </row>
    <row r="793" spans="1:11" x14ac:dyDescent="0.2">
      <c r="A793" s="70">
        <v>44676</v>
      </c>
      <c r="B793" s="57">
        <v>2345</v>
      </c>
      <c r="C793" s="57" t="s">
        <v>176</v>
      </c>
      <c r="D793" s="57" t="s">
        <v>174</v>
      </c>
      <c r="E793" s="57" t="s">
        <v>175</v>
      </c>
      <c r="F793" s="57">
        <f t="shared" si="16"/>
        <v>1</v>
      </c>
      <c r="G793" s="57">
        <v>25.8338</v>
      </c>
      <c r="H793" s="57">
        <v>27.380299999999998</v>
      </c>
      <c r="I793" s="57">
        <v>26.698899999999998</v>
      </c>
      <c r="J793" s="33">
        <f t="shared" si="17"/>
        <v>1.5464999999999982</v>
      </c>
      <c r="K793" s="33">
        <f t="shared" si="18"/>
        <v>0.8650999999999982</v>
      </c>
    </row>
    <row r="794" spans="1:11" x14ac:dyDescent="0.2">
      <c r="A794" s="70">
        <v>44676</v>
      </c>
      <c r="B794" s="57">
        <v>2380</v>
      </c>
      <c r="C794" s="57" t="s">
        <v>176</v>
      </c>
      <c r="D794" s="57" t="s">
        <v>174</v>
      </c>
      <c r="E794" s="57" t="s">
        <v>178</v>
      </c>
      <c r="F794" s="57">
        <f t="shared" si="16"/>
        <v>1</v>
      </c>
      <c r="G794" s="57">
        <v>26.058700000000002</v>
      </c>
      <c r="H794" s="57">
        <v>29.7288</v>
      </c>
      <c r="I794" s="57">
        <v>28.518000000000001</v>
      </c>
      <c r="J794" s="33">
        <f t="shared" si="17"/>
        <v>3.6700999999999979</v>
      </c>
      <c r="K794" s="33">
        <f t="shared" si="18"/>
        <v>2.4592999999999989</v>
      </c>
    </row>
    <row r="795" spans="1:11" x14ac:dyDescent="0.2">
      <c r="A795" s="70">
        <v>44676</v>
      </c>
      <c r="B795" s="57">
        <v>2009</v>
      </c>
      <c r="C795" s="57" t="s">
        <v>173</v>
      </c>
      <c r="D795" s="57" t="s">
        <v>177</v>
      </c>
      <c r="E795" s="57" t="s">
        <v>175</v>
      </c>
      <c r="F795" s="57">
        <f t="shared" si="16"/>
        <v>0</v>
      </c>
      <c r="G795" s="57">
        <v>25.33</v>
      </c>
      <c r="H795" s="57">
        <v>26.404</v>
      </c>
      <c r="I795" s="57">
        <v>25.620999999999999</v>
      </c>
      <c r="J795" s="33">
        <f t="shared" si="17"/>
        <v>1.0740000000000016</v>
      </c>
      <c r="K795" s="33">
        <f t="shared" si="18"/>
        <v>0.29100000000000037</v>
      </c>
    </row>
    <row r="796" spans="1:11" x14ac:dyDescent="0.2">
      <c r="A796" s="70">
        <v>44676</v>
      </c>
      <c r="B796" s="57">
        <v>2372</v>
      </c>
      <c r="C796" s="57" t="s">
        <v>173</v>
      </c>
      <c r="D796" s="57" t="s">
        <v>177</v>
      </c>
      <c r="E796" s="57" t="s">
        <v>175</v>
      </c>
      <c r="F796" s="57">
        <f t="shared" si="16"/>
        <v>0</v>
      </c>
      <c r="G796" s="57">
        <v>15.210100000000001</v>
      </c>
      <c r="H796" s="57">
        <v>15.848000000000001</v>
      </c>
      <c r="I796" s="57">
        <v>15.481</v>
      </c>
      <c r="J796" s="33">
        <f t="shared" si="17"/>
        <v>0.63790000000000013</v>
      </c>
      <c r="K796" s="33">
        <f t="shared" si="18"/>
        <v>0.27089999999999925</v>
      </c>
    </row>
    <row r="797" spans="1:11" x14ac:dyDescent="0.2">
      <c r="A797" s="70">
        <v>44676</v>
      </c>
      <c r="B797" s="57">
        <v>2010</v>
      </c>
      <c r="C797" s="57" t="s">
        <v>173</v>
      </c>
      <c r="D797" s="57" t="s">
        <v>174</v>
      </c>
      <c r="E797" s="57" t="s">
        <v>175</v>
      </c>
      <c r="F797" s="57">
        <f t="shared" si="16"/>
        <v>1</v>
      </c>
      <c r="G797" s="57">
        <v>15.256600000000001</v>
      </c>
      <c r="H797" s="57">
        <v>16.745000000000001</v>
      </c>
      <c r="I797" s="57">
        <v>16.001000000000001</v>
      </c>
      <c r="J797" s="33">
        <f t="shared" si="17"/>
        <v>1.4884000000000004</v>
      </c>
      <c r="K797" s="33">
        <f t="shared" si="18"/>
        <v>0.74440000000000062</v>
      </c>
    </row>
    <row r="798" spans="1:11" x14ac:dyDescent="0.2">
      <c r="A798" s="70">
        <v>44678</v>
      </c>
      <c r="B798" s="57">
        <v>2022</v>
      </c>
      <c r="C798" s="57" t="s">
        <v>173</v>
      </c>
      <c r="D798" s="57" t="s">
        <v>177</v>
      </c>
      <c r="E798" s="57" t="s">
        <v>175</v>
      </c>
      <c r="F798" s="57">
        <f t="shared" si="16"/>
        <v>0</v>
      </c>
      <c r="G798" s="57">
        <v>25.9086</v>
      </c>
      <c r="H798" s="57">
        <v>26.452999999999999</v>
      </c>
      <c r="I798" s="57">
        <v>26.139399999999998</v>
      </c>
      <c r="J798" s="33">
        <f t="shared" si="17"/>
        <v>0.54439999999999955</v>
      </c>
      <c r="K798" s="33">
        <f t="shared" si="18"/>
        <v>0.23079999999999856</v>
      </c>
    </row>
    <row r="799" spans="1:11" x14ac:dyDescent="0.2">
      <c r="A799" s="70">
        <v>44676</v>
      </c>
      <c r="B799" s="57">
        <v>2384</v>
      </c>
      <c r="C799" s="57" t="s">
        <v>173</v>
      </c>
      <c r="D799" s="57" t="s">
        <v>174</v>
      </c>
      <c r="E799" s="57" t="s">
        <v>175</v>
      </c>
      <c r="F799" s="57">
        <f t="shared" si="16"/>
        <v>1</v>
      </c>
      <c r="G799" s="57">
        <v>26.317799999999998</v>
      </c>
      <c r="H799" s="57">
        <v>27.204000000000001</v>
      </c>
      <c r="I799" s="57">
        <v>26.7928</v>
      </c>
      <c r="J799" s="33">
        <f t="shared" si="17"/>
        <v>0.88620000000000232</v>
      </c>
      <c r="K799" s="33">
        <f t="shared" si="18"/>
        <v>0.47500000000000142</v>
      </c>
    </row>
    <row r="800" spans="1:11" x14ac:dyDescent="0.2">
      <c r="A800" s="70">
        <v>44676</v>
      </c>
      <c r="B800" s="57">
        <v>2377</v>
      </c>
      <c r="C800" s="57" t="s">
        <v>176</v>
      </c>
      <c r="D800" s="57" t="s">
        <v>177</v>
      </c>
      <c r="E800" s="57" t="s">
        <v>175</v>
      </c>
      <c r="F800" s="57">
        <f t="shared" si="16"/>
        <v>0</v>
      </c>
      <c r="G800" s="57">
        <v>15.291399999999999</v>
      </c>
      <c r="H800" s="57">
        <v>15.0206</v>
      </c>
      <c r="I800" s="57">
        <v>15.3134</v>
      </c>
      <c r="J800" s="33">
        <f t="shared" si="17"/>
        <v>-0.27079999999999949</v>
      </c>
      <c r="K800" s="33">
        <f t="shared" si="18"/>
        <v>2.2000000000000242E-2</v>
      </c>
    </row>
    <row r="801" spans="1:11" x14ac:dyDescent="0.2">
      <c r="A801" s="70">
        <v>44676</v>
      </c>
      <c r="B801" s="57">
        <v>2352</v>
      </c>
      <c r="C801" s="57" t="s">
        <v>176</v>
      </c>
      <c r="D801" s="57" t="s">
        <v>177</v>
      </c>
      <c r="E801" s="57" t="s">
        <v>178</v>
      </c>
      <c r="F801" s="57">
        <f t="shared" si="16"/>
        <v>0</v>
      </c>
      <c r="G801" s="57">
        <v>15.5124</v>
      </c>
      <c r="H801" s="57">
        <v>16.197600000000001</v>
      </c>
      <c r="I801" s="57">
        <v>15.8469</v>
      </c>
      <c r="J801" s="33">
        <f t="shared" si="17"/>
        <v>0.68520000000000181</v>
      </c>
      <c r="K801" s="33">
        <f t="shared" si="18"/>
        <v>0.33450000000000024</v>
      </c>
    </row>
    <row r="802" spans="1:11" x14ac:dyDescent="0.2">
      <c r="A802" s="70">
        <v>44678</v>
      </c>
      <c r="B802" s="57">
        <v>2005</v>
      </c>
      <c r="C802" s="57" t="s">
        <v>173</v>
      </c>
      <c r="D802" s="57" t="s">
        <v>177</v>
      </c>
      <c r="E802" s="57" t="s">
        <v>178</v>
      </c>
      <c r="F802" s="57">
        <f t="shared" si="16"/>
        <v>0</v>
      </c>
      <c r="G802" s="57">
        <v>26.0914</v>
      </c>
      <c r="H802" s="57">
        <v>34.863</v>
      </c>
      <c r="I802" s="57">
        <v>30.438300000000002</v>
      </c>
      <c r="J802" s="33">
        <f t="shared" si="17"/>
        <v>8.7715999999999994</v>
      </c>
      <c r="K802" s="33">
        <f t="shared" si="18"/>
        <v>4.3469000000000015</v>
      </c>
    </row>
    <row r="803" spans="1:11" x14ac:dyDescent="0.2">
      <c r="A803" s="70">
        <v>44676</v>
      </c>
      <c r="B803" s="57">
        <v>2384</v>
      </c>
      <c r="C803" s="57" t="s">
        <v>173</v>
      </c>
      <c r="D803" s="57" t="s">
        <v>177</v>
      </c>
      <c r="E803" s="57" t="s">
        <v>178</v>
      </c>
      <c r="F803" s="57">
        <f t="shared" si="16"/>
        <v>0</v>
      </c>
      <c r="G803" s="57">
        <v>25.587599999999998</v>
      </c>
      <c r="H803" s="57">
        <v>29.562999999999999</v>
      </c>
      <c r="I803" s="57">
        <v>27.383299999999998</v>
      </c>
      <c r="J803" s="33">
        <f t="shared" si="17"/>
        <v>3.9754000000000005</v>
      </c>
      <c r="K803" s="33">
        <f t="shared" si="18"/>
        <v>1.7957000000000001</v>
      </c>
    </row>
    <row r="804" spans="1:11" x14ac:dyDescent="0.2">
      <c r="A804" s="70">
        <v>44678</v>
      </c>
      <c r="B804" s="57">
        <v>2024</v>
      </c>
      <c r="C804" s="57" t="s">
        <v>173</v>
      </c>
      <c r="D804" s="57" t="s">
        <v>177</v>
      </c>
      <c r="E804" s="57" t="s">
        <v>178</v>
      </c>
      <c r="F804" s="57">
        <f t="shared" si="16"/>
        <v>0</v>
      </c>
      <c r="G804" s="57">
        <v>25.7575</v>
      </c>
      <c r="H804" s="57">
        <v>31.13</v>
      </c>
      <c r="I804" s="57">
        <v>28.369800000000001</v>
      </c>
      <c r="J804" s="33">
        <f t="shared" si="17"/>
        <v>5.3724999999999987</v>
      </c>
      <c r="K804" s="33">
        <f t="shared" si="18"/>
        <v>2.6123000000000012</v>
      </c>
    </row>
    <row r="805" spans="1:11" x14ac:dyDescent="0.2">
      <c r="A805" s="70">
        <v>44678</v>
      </c>
      <c r="B805" s="57">
        <v>2026</v>
      </c>
      <c r="C805" s="57" t="s">
        <v>173</v>
      </c>
      <c r="D805" s="57" t="s">
        <v>174</v>
      </c>
      <c r="E805" s="57" t="s">
        <v>175</v>
      </c>
      <c r="F805" s="57">
        <f t="shared" si="16"/>
        <v>1</v>
      </c>
      <c r="G805" s="57">
        <v>26.662199999999999</v>
      </c>
      <c r="H805" s="57">
        <v>27.648</v>
      </c>
      <c r="I805" s="57">
        <v>27.3948</v>
      </c>
      <c r="J805" s="33">
        <f t="shared" si="17"/>
        <v>0.98580000000000112</v>
      </c>
      <c r="K805" s="33">
        <f t="shared" si="18"/>
        <v>0.73260000000000147</v>
      </c>
    </row>
    <row r="806" spans="1:11" x14ac:dyDescent="0.2">
      <c r="A806" s="70">
        <v>44676</v>
      </c>
      <c r="B806" s="57">
        <v>2009</v>
      </c>
      <c r="C806" s="57" t="s">
        <v>173</v>
      </c>
      <c r="D806" s="57" t="s">
        <v>177</v>
      </c>
      <c r="E806" s="57" t="s">
        <v>178</v>
      </c>
      <c r="F806" s="57">
        <f t="shared" si="16"/>
        <v>0</v>
      </c>
      <c r="G806" s="57">
        <v>25.852699999999999</v>
      </c>
      <c r="H806" s="57">
        <v>32.052999999999997</v>
      </c>
      <c r="I806" s="57">
        <v>28.713000000000001</v>
      </c>
      <c r="J806" s="33">
        <f t="shared" si="17"/>
        <v>6.2002999999999986</v>
      </c>
      <c r="K806" s="33">
        <f t="shared" si="18"/>
        <v>2.8603000000000023</v>
      </c>
    </row>
    <row r="807" spans="1:11" x14ac:dyDescent="0.2">
      <c r="A807" s="70">
        <v>44676</v>
      </c>
      <c r="B807" s="57">
        <v>2381</v>
      </c>
      <c r="C807" s="57" t="s">
        <v>176</v>
      </c>
      <c r="D807" s="57" t="s">
        <v>177</v>
      </c>
      <c r="E807" s="57" t="s">
        <v>175</v>
      </c>
      <c r="F807" s="57">
        <f t="shared" si="16"/>
        <v>0</v>
      </c>
      <c r="G807" s="57">
        <v>26.511900000000001</v>
      </c>
      <c r="H807" s="57">
        <v>26.367599999999999</v>
      </c>
      <c r="I807" s="57">
        <v>26.5883</v>
      </c>
      <c r="J807" s="33">
        <f t="shared" si="17"/>
        <v>-0.14430000000000121</v>
      </c>
      <c r="K807" s="33">
        <f t="shared" si="18"/>
        <v>7.6399999999999579E-2</v>
      </c>
    </row>
    <row r="808" spans="1:11" x14ac:dyDescent="0.2">
      <c r="A808" s="70">
        <v>44676</v>
      </c>
      <c r="B808" s="57">
        <v>2347</v>
      </c>
      <c r="C808" s="57" t="s">
        <v>173</v>
      </c>
      <c r="D808" s="57" t="s">
        <v>177</v>
      </c>
      <c r="E808" s="57" t="s">
        <v>178</v>
      </c>
      <c r="F808" s="57">
        <f t="shared" si="16"/>
        <v>0</v>
      </c>
      <c r="G808" s="57">
        <v>25.8035</v>
      </c>
      <c r="H808" s="57">
        <v>30.846</v>
      </c>
      <c r="I808" s="57">
        <v>28.143699999999999</v>
      </c>
      <c r="J808" s="33">
        <f t="shared" si="17"/>
        <v>5.0425000000000004</v>
      </c>
      <c r="K808" s="33">
        <f t="shared" si="18"/>
        <v>2.3401999999999994</v>
      </c>
    </row>
    <row r="809" spans="1:11" x14ac:dyDescent="0.2">
      <c r="A809" s="70">
        <v>44676</v>
      </c>
      <c r="B809" s="57">
        <v>2365</v>
      </c>
      <c r="C809" s="57" t="s">
        <v>176</v>
      </c>
      <c r="D809" s="57" t="s">
        <v>177</v>
      </c>
      <c r="E809" s="57" t="s">
        <v>175</v>
      </c>
      <c r="F809" s="57">
        <f t="shared" si="16"/>
        <v>0</v>
      </c>
      <c r="G809" s="57">
        <v>26.332799999999999</v>
      </c>
      <c r="H809" s="57">
        <v>26.593599999999999</v>
      </c>
      <c r="I809" s="57">
        <v>26.430199999999999</v>
      </c>
      <c r="J809" s="33">
        <f t="shared" si="17"/>
        <v>0.2607999999999997</v>
      </c>
      <c r="K809" s="33">
        <f t="shared" si="18"/>
        <v>9.7400000000000375E-2</v>
      </c>
    </row>
    <row r="810" spans="1:11" x14ac:dyDescent="0.2">
      <c r="A810" s="70">
        <v>44676</v>
      </c>
      <c r="B810" s="57">
        <v>2370</v>
      </c>
      <c r="C810" s="57" t="s">
        <v>176</v>
      </c>
      <c r="D810" s="57" t="s">
        <v>177</v>
      </c>
      <c r="E810" s="57" t="s">
        <v>175</v>
      </c>
      <c r="F810" s="57">
        <f t="shared" si="16"/>
        <v>0</v>
      </c>
      <c r="G810" s="57">
        <v>25.795000000000002</v>
      </c>
      <c r="H810" s="57">
        <v>26.498899999999999</v>
      </c>
      <c r="I810" s="57">
        <v>25.8871</v>
      </c>
      <c r="J810" s="33">
        <f t="shared" si="17"/>
        <v>0.70389999999999731</v>
      </c>
      <c r="K810" s="33">
        <f t="shared" si="18"/>
        <v>9.2099999999998516E-2</v>
      </c>
    </row>
    <row r="811" spans="1:11" x14ac:dyDescent="0.2">
      <c r="A811" s="70">
        <v>44676</v>
      </c>
      <c r="B811" s="57">
        <v>2376</v>
      </c>
      <c r="C811" s="57" t="s">
        <v>173</v>
      </c>
      <c r="D811" s="57" t="s">
        <v>174</v>
      </c>
      <c r="E811" s="57" t="s">
        <v>175</v>
      </c>
      <c r="F811" s="57">
        <f t="shared" si="16"/>
        <v>1</v>
      </c>
      <c r="G811" s="57">
        <v>25.645600000000002</v>
      </c>
      <c r="H811" s="57">
        <v>26.577999999999999</v>
      </c>
      <c r="I811" s="57">
        <v>26.333400000000001</v>
      </c>
      <c r="J811" s="33">
        <f t="shared" si="17"/>
        <v>0.93239999999999768</v>
      </c>
      <c r="K811" s="33">
        <f t="shared" si="18"/>
        <v>0.6877999999999993</v>
      </c>
    </row>
    <row r="812" spans="1:11" x14ac:dyDescent="0.2">
      <c r="A812" s="70">
        <v>44678</v>
      </c>
      <c r="B812" s="57">
        <v>2012</v>
      </c>
      <c r="C812" s="57" t="s">
        <v>173</v>
      </c>
      <c r="D812" s="57" t="s">
        <v>177</v>
      </c>
      <c r="E812" s="57" t="s">
        <v>178</v>
      </c>
      <c r="F812" s="57">
        <f t="shared" si="16"/>
        <v>0</v>
      </c>
      <c r="G812" s="57">
        <v>25.454999999999998</v>
      </c>
      <c r="H812" s="57">
        <v>29.584</v>
      </c>
      <c r="I812" s="57">
        <v>27.296099999999999</v>
      </c>
      <c r="J812" s="33">
        <f t="shared" si="17"/>
        <v>4.1290000000000013</v>
      </c>
      <c r="K812" s="33">
        <f t="shared" si="18"/>
        <v>1.8411000000000008</v>
      </c>
    </row>
    <row r="813" spans="1:11" x14ac:dyDescent="0.2">
      <c r="A813" s="70">
        <v>44676</v>
      </c>
      <c r="B813" s="57">
        <v>2381</v>
      </c>
      <c r="C813" s="57" t="s">
        <v>173</v>
      </c>
      <c r="D813" s="57" t="s">
        <v>177</v>
      </c>
      <c r="E813" s="57" t="s">
        <v>175</v>
      </c>
      <c r="F813" s="57">
        <f t="shared" si="16"/>
        <v>0</v>
      </c>
      <c r="G813" s="57">
        <v>25.772400000000001</v>
      </c>
      <c r="H813" s="57">
        <v>26.094000000000001</v>
      </c>
      <c r="I813" s="57">
        <v>25.900099999999998</v>
      </c>
      <c r="J813" s="33">
        <f t="shared" si="17"/>
        <v>0.32160000000000011</v>
      </c>
      <c r="K813" s="33">
        <f t="shared" si="18"/>
        <v>0.12769999999999726</v>
      </c>
    </row>
    <row r="814" spans="1:11" x14ac:dyDescent="0.2">
      <c r="A814" s="70">
        <v>44678</v>
      </c>
      <c r="B814" s="57">
        <v>2023</v>
      </c>
      <c r="C814" s="57" t="s">
        <v>173</v>
      </c>
      <c r="D814" s="57" t="s">
        <v>174</v>
      </c>
      <c r="E814" s="57" t="s">
        <v>175</v>
      </c>
      <c r="F814" s="57">
        <f t="shared" si="16"/>
        <v>1</v>
      </c>
      <c r="G814" s="57">
        <v>25.879000000000001</v>
      </c>
      <c r="H814" s="57">
        <v>26.055</v>
      </c>
      <c r="I814" s="57">
        <v>26.1568</v>
      </c>
      <c r="J814" s="33">
        <f t="shared" si="17"/>
        <v>0.17599999999999838</v>
      </c>
      <c r="K814" s="33">
        <f t="shared" si="18"/>
        <v>0.27779999999999916</v>
      </c>
    </row>
    <row r="815" spans="1:11" x14ac:dyDescent="0.2">
      <c r="A815" s="70">
        <v>44678</v>
      </c>
      <c r="B815" s="57">
        <v>2024</v>
      </c>
      <c r="C815" s="57" t="s">
        <v>173</v>
      </c>
      <c r="D815" s="57" t="s">
        <v>177</v>
      </c>
      <c r="E815" s="57" t="s">
        <v>175</v>
      </c>
      <c r="F815" s="57">
        <f t="shared" si="16"/>
        <v>0</v>
      </c>
      <c r="G815" s="57">
        <v>26.182400000000001</v>
      </c>
      <c r="H815" s="57">
        <v>26.547999999999998</v>
      </c>
      <c r="I815" s="57">
        <v>26.5366</v>
      </c>
      <c r="J815" s="33">
        <f t="shared" si="17"/>
        <v>0.36559999999999704</v>
      </c>
      <c r="K815" s="33">
        <f t="shared" si="18"/>
        <v>0.35419999999999874</v>
      </c>
    </row>
    <row r="816" spans="1:11" x14ac:dyDescent="0.2">
      <c r="A816" s="70">
        <v>44676</v>
      </c>
      <c r="B816" s="57">
        <v>2011</v>
      </c>
      <c r="C816" s="57" t="s">
        <v>173</v>
      </c>
      <c r="D816" s="57" t="s">
        <v>177</v>
      </c>
      <c r="E816" s="57" t="s">
        <v>178</v>
      </c>
      <c r="F816" s="57">
        <f t="shared" si="16"/>
        <v>0</v>
      </c>
      <c r="G816" s="57">
        <v>25.635400000000001</v>
      </c>
      <c r="H816" s="57">
        <v>31.425000000000001</v>
      </c>
      <c r="I816" s="57">
        <v>28.542000000000002</v>
      </c>
      <c r="J816" s="33">
        <f t="shared" si="17"/>
        <v>5.7896000000000001</v>
      </c>
      <c r="K816" s="33">
        <f t="shared" si="18"/>
        <v>2.906600000000001</v>
      </c>
    </row>
    <row r="817" spans="1:11" x14ac:dyDescent="0.2">
      <c r="A817" s="70">
        <v>44676</v>
      </c>
      <c r="B817" s="57">
        <v>2377</v>
      </c>
      <c r="C817" s="57" t="s">
        <v>173</v>
      </c>
      <c r="D817" s="57" t="s">
        <v>174</v>
      </c>
      <c r="E817" s="57" t="s">
        <v>178</v>
      </c>
      <c r="F817" s="57">
        <f t="shared" si="16"/>
        <v>1</v>
      </c>
      <c r="G817" s="57">
        <v>26.2422</v>
      </c>
      <c r="H817" s="57">
        <v>27.308</v>
      </c>
      <c r="I817" s="57">
        <v>27.058800000000002</v>
      </c>
      <c r="J817" s="33">
        <f t="shared" si="17"/>
        <v>1.0657999999999994</v>
      </c>
      <c r="K817" s="33">
        <f t="shared" si="18"/>
        <v>0.8166000000000011</v>
      </c>
    </row>
    <row r="818" spans="1:11" x14ac:dyDescent="0.2">
      <c r="A818" s="70">
        <v>44676</v>
      </c>
      <c r="B818" s="57">
        <v>2382</v>
      </c>
      <c r="C818" s="57" t="s">
        <v>176</v>
      </c>
      <c r="D818" s="57" t="s">
        <v>177</v>
      </c>
      <c r="E818" s="57" t="s">
        <v>178</v>
      </c>
      <c r="F818" s="57">
        <f t="shared" si="16"/>
        <v>0</v>
      </c>
      <c r="G818" s="57">
        <v>25.832000000000001</v>
      </c>
      <c r="H818" s="57">
        <v>29.9526</v>
      </c>
      <c r="I818" s="57">
        <v>28.028199999999998</v>
      </c>
      <c r="J818" s="33">
        <f t="shared" si="17"/>
        <v>4.1205999999999996</v>
      </c>
      <c r="K818" s="33">
        <f t="shared" si="18"/>
        <v>2.1961999999999975</v>
      </c>
    </row>
    <row r="819" spans="1:11" x14ac:dyDescent="0.2">
      <c r="A819" s="70">
        <v>44676</v>
      </c>
      <c r="B819" s="57">
        <v>2372</v>
      </c>
      <c r="C819" s="57" t="s">
        <v>176</v>
      </c>
      <c r="D819" s="57" t="s">
        <v>177</v>
      </c>
      <c r="E819" s="57" t="s">
        <v>178</v>
      </c>
      <c r="F819" s="57">
        <f t="shared" si="16"/>
        <v>0</v>
      </c>
      <c r="G819" s="57">
        <v>26.1799</v>
      </c>
      <c r="H819" s="57">
        <v>29.954899999999999</v>
      </c>
      <c r="I819" s="57">
        <v>28.088699999999999</v>
      </c>
      <c r="J819" s="33">
        <f t="shared" si="17"/>
        <v>3.7749999999999986</v>
      </c>
      <c r="K819" s="33">
        <f t="shared" si="18"/>
        <v>1.9087999999999994</v>
      </c>
    </row>
    <row r="820" spans="1:11" x14ac:dyDescent="0.2">
      <c r="A820" s="70">
        <v>44676</v>
      </c>
      <c r="B820" s="57">
        <v>2010</v>
      </c>
      <c r="C820" s="57" t="s">
        <v>176</v>
      </c>
      <c r="D820" s="57" t="s">
        <v>177</v>
      </c>
      <c r="E820" s="57" t="s">
        <v>175</v>
      </c>
      <c r="F820" s="57">
        <f t="shared" si="16"/>
        <v>0</v>
      </c>
      <c r="G820" s="57">
        <v>26.077300000000001</v>
      </c>
      <c r="H820" s="57">
        <v>26.904199999999999</v>
      </c>
      <c r="I820" s="57">
        <v>26.2425</v>
      </c>
      <c r="J820" s="33">
        <f t="shared" si="17"/>
        <v>0.82689999999999841</v>
      </c>
      <c r="K820" s="33">
        <f t="shared" si="18"/>
        <v>0.16519999999999868</v>
      </c>
    </row>
    <row r="821" spans="1:11" x14ac:dyDescent="0.2">
      <c r="A821" s="70">
        <v>44676</v>
      </c>
      <c r="B821" s="57">
        <v>2354</v>
      </c>
      <c r="C821" s="57" t="s">
        <v>173</v>
      </c>
      <c r="D821" s="57" t="s">
        <v>177</v>
      </c>
      <c r="E821" s="57" t="s">
        <v>178</v>
      </c>
      <c r="F821" s="57">
        <f t="shared" si="16"/>
        <v>0</v>
      </c>
      <c r="G821" s="57">
        <v>25.7881</v>
      </c>
      <c r="H821" s="57">
        <v>27.56</v>
      </c>
      <c r="I821" s="57">
        <v>26.451699999999999</v>
      </c>
      <c r="J821" s="33">
        <f t="shared" si="17"/>
        <v>1.7718999999999987</v>
      </c>
      <c r="K821" s="33">
        <f t="shared" si="18"/>
        <v>0.66359999999999886</v>
      </c>
    </row>
    <row r="822" spans="1:11" x14ac:dyDescent="0.2">
      <c r="A822" s="70">
        <v>44676</v>
      </c>
      <c r="B822" s="57">
        <v>2343</v>
      </c>
      <c r="C822" s="57" t="s">
        <v>176</v>
      </c>
      <c r="D822" s="57" t="s">
        <v>177</v>
      </c>
      <c r="E822" s="57" t="s">
        <v>178</v>
      </c>
      <c r="F822" s="57">
        <f t="shared" si="16"/>
        <v>0</v>
      </c>
      <c r="G822" s="57">
        <v>26.334199999999999</v>
      </c>
      <c r="H822" s="57">
        <v>29.502600000000001</v>
      </c>
      <c r="I822" s="57">
        <v>27.902699999999999</v>
      </c>
      <c r="J822" s="33">
        <f t="shared" si="17"/>
        <v>3.1684000000000019</v>
      </c>
      <c r="K822" s="33">
        <f t="shared" si="18"/>
        <v>1.5685000000000002</v>
      </c>
    </row>
    <row r="823" spans="1:11" x14ac:dyDescent="0.2">
      <c r="A823" s="70">
        <v>44676</v>
      </c>
      <c r="B823" s="57">
        <v>2331</v>
      </c>
      <c r="C823" s="57" t="s">
        <v>176</v>
      </c>
      <c r="D823" s="57" t="s">
        <v>174</v>
      </c>
      <c r="E823" s="57" t="s">
        <v>175</v>
      </c>
      <c r="F823" s="57">
        <f t="shared" si="16"/>
        <v>1</v>
      </c>
      <c r="G823" s="57">
        <v>25.870899999999999</v>
      </c>
      <c r="H823" s="57">
        <v>27.404199999999999</v>
      </c>
      <c r="I823" s="57">
        <v>26.779</v>
      </c>
      <c r="J823" s="33">
        <f t="shared" si="17"/>
        <v>1.5333000000000006</v>
      </c>
      <c r="K823" s="33">
        <f t="shared" si="18"/>
        <v>0.90810000000000102</v>
      </c>
    </row>
    <row r="824" spans="1:11" x14ac:dyDescent="0.2">
      <c r="A824" s="70">
        <v>44678</v>
      </c>
      <c r="B824" s="57">
        <v>2090</v>
      </c>
      <c r="C824" s="57" t="s">
        <v>173</v>
      </c>
      <c r="D824" s="57" t="s">
        <v>174</v>
      </c>
      <c r="E824" s="57" t="s">
        <v>175</v>
      </c>
      <c r="F824" s="57">
        <f t="shared" si="16"/>
        <v>1</v>
      </c>
      <c r="G824" s="57">
        <v>26.194400000000002</v>
      </c>
      <c r="H824" s="57">
        <v>28.268999999999998</v>
      </c>
      <c r="I824" s="57">
        <v>27.211500000000001</v>
      </c>
      <c r="J824" s="33">
        <f t="shared" si="17"/>
        <v>2.0745999999999967</v>
      </c>
      <c r="K824" s="33">
        <f t="shared" si="18"/>
        <v>1.0170999999999992</v>
      </c>
    </row>
    <row r="825" spans="1:11" x14ac:dyDescent="0.2">
      <c r="A825" s="70">
        <v>44676</v>
      </c>
      <c r="B825" s="57">
        <v>2384</v>
      </c>
      <c r="C825" s="57" t="s">
        <v>176</v>
      </c>
      <c r="D825" s="57" t="s">
        <v>177</v>
      </c>
      <c r="E825" s="57" t="s">
        <v>178</v>
      </c>
      <c r="F825" s="57">
        <f t="shared" si="16"/>
        <v>0</v>
      </c>
      <c r="G825" s="57">
        <v>25.846800000000002</v>
      </c>
      <c r="H825" s="57">
        <v>27.991399999999999</v>
      </c>
      <c r="I825" s="57">
        <v>26.956099999999999</v>
      </c>
      <c r="J825" s="33">
        <f t="shared" si="17"/>
        <v>2.144599999999997</v>
      </c>
      <c r="K825" s="33">
        <f t="shared" si="18"/>
        <v>1.1092999999999975</v>
      </c>
    </row>
    <row r="826" spans="1:11" x14ac:dyDescent="0.2">
      <c r="A826" s="70">
        <v>44676</v>
      </c>
      <c r="B826" s="57">
        <v>2346</v>
      </c>
      <c r="C826" s="57" t="s">
        <v>176</v>
      </c>
      <c r="D826" s="57" t="s">
        <v>177</v>
      </c>
      <c r="E826" s="57" t="s">
        <v>178</v>
      </c>
      <c r="F826" s="57">
        <f t="shared" si="16"/>
        <v>0</v>
      </c>
      <c r="G826" s="57">
        <v>25.476700000000001</v>
      </c>
      <c r="H826" s="57">
        <v>27.290500000000002</v>
      </c>
      <c r="I826" s="57">
        <v>26.376999999999999</v>
      </c>
      <c r="J826" s="33">
        <f t="shared" si="17"/>
        <v>1.8138000000000005</v>
      </c>
      <c r="K826" s="33">
        <f t="shared" si="18"/>
        <v>0.90029999999999788</v>
      </c>
    </row>
    <row r="827" spans="1:11" x14ac:dyDescent="0.2">
      <c r="A827" s="70">
        <v>44676</v>
      </c>
      <c r="B827" s="57">
        <v>2377</v>
      </c>
      <c r="C827" s="57" t="s">
        <v>173</v>
      </c>
      <c r="D827" s="57" t="s">
        <v>177</v>
      </c>
      <c r="E827" s="57" t="s">
        <v>175</v>
      </c>
      <c r="F827" s="57">
        <f t="shared" si="16"/>
        <v>0</v>
      </c>
      <c r="G827" s="57">
        <v>15.6279</v>
      </c>
      <c r="H827" s="57">
        <v>15.833</v>
      </c>
      <c r="I827" s="57">
        <v>15.685499999999999</v>
      </c>
      <c r="J827" s="33">
        <f t="shared" si="17"/>
        <v>0.20509999999999984</v>
      </c>
      <c r="K827" s="33">
        <f t="shared" si="18"/>
        <v>5.7599999999998985E-2</v>
      </c>
    </row>
    <row r="828" spans="1:11" x14ac:dyDescent="0.2">
      <c r="A828" s="70">
        <v>44678</v>
      </c>
      <c r="B828" s="57">
        <v>2089</v>
      </c>
      <c r="C828" s="57" t="s">
        <v>173</v>
      </c>
      <c r="D828" s="57" t="s">
        <v>174</v>
      </c>
      <c r="E828" s="57" t="s">
        <v>178</v>
      </c>
      <c r="F828" s="57">
        <f t="shared" si="16"/>
        <v>1</v>
      </c>
      <c r="G828" s="57">
        <v>25.3934</v>
      </c>
      <c r="H828" s="57">
        <v>29.527000000000001</v>
      </c>
      <c r="I828" s="57">
        <v>27.762899999999998</v>
      </c>
      <c r="J828" s="33">
        <f t="shared" si="17"/>
        <v>4.1336000000000013</v>
      </c>
      <c r="K828" s="33">
        <f t="shared" si="18"/>
        <v>2.3694999999999986</v>
      </c>
    </row>
    <row r="829" spans="1:11" x14ac:dyDescent="0.2">
      <c r="A829" s="70">
        <v>44676</v>
      </c>
      <c r="B829" s="57">
        <v>2371</v>
      </c>
      <c r="C829" s="57" t="s">
        <v>176</v>
      </c>
      <c r="D829" s="57" t="s">
        <v>177</v>
      </c>
      <c r="E829" s="57" t="s">
        <v>178</v>
      </c>
      <c r="F829" s="57">
        <f t="shared" si="16"/>
        <v>0</v>
      </c>
      <c r="G829" s="57">
        <v>25.421099999999999</v>
      </c>
      <c r="H829" s="57">
        <v>30.895800000000001</v>
      </c>
      <c r="I829" s="57">
        <v>27.882999999999999</v>
      </c>
      <c r="J829" s="33">
        <f t="shared" si="17"/>
        <v>5.4747000000000021</v>
      </c>
      <c r="K829" s="33">
        <f t="shared" si="18"/>
        <v>2.4619</v>
      </c>
    </row>
    <row r="830" spans="1:11" x14ac:dyDescent="0.2">
      <c r="A830" s="70">
        <v>44676</v>
      </c>
      <c r="B830" s="57">
        <v>2345</v>
      </c>
      <c r="C830" s="57" t="s">
        <v>173</v>
      </c>
      <c r="D830" s="57" t="s">
        <v>174</v>
      </c>
      <c r="E830" s="57" t="s">
        <v>178</v>
      </c>
      <c r="F830" s="57">
        <f t="shared" si="16"/>
        <v>1</v>
      </c>
      <c r="G830" s="57">
        <v>26.044499999999999</v>
      </c>
      <c r="H830" s="57">
        <v>32.447000000000003</v>
      </c>
      <c r="I830" s="57">
        <v>29.4649</v>
      </c>
      <c r="J830" s="33">
        <f t="shared" si="17"/>
        <v>6.4025000000000034</v>
      </c>
      <c r="K830" s="33">
        <f t="shared" si="18"/>
        <v>3.4204000000000008</v>
      </c>
    </row>
    <row r="831" spans="1:11" x14ac:dyDescent="0.2">
      <c r="A831" s="70">
        <v>44676</v>
      </c>
      <c r="B831" s="57">
        <v>2354</v>
      </c>
      <c r="C831" s="57" t="s">
        <v>173</v>
      </c>
      <c r="D831" s="57" t="s">
        <v>174</v>
      </c>
      <c r="E831" s="57" t="s">
        <v>175</v>
      </c>
      <c r="F831" s="57">
        <f t="shared" si="16"/>
        <v>1</v>
      </c>
      <c r="G831" s="57">
        <v>25.738399999999999</v>
      </c>
      <c r="H831" s="57">
        <v>27.126999999999999</v>
      </c>
      <c r="I831" s="57">
        <v>26.303000000000001</v>
      </c>
      <c r="J831" s="33">
        <f t="shared" si="17"/>
        <v>1.3886000000000003</v>
      </c>
      <c r="K831" s="33">
        <f t="shared" si="18"/>
        <v>0.56460000000000221</v>
      </c>
    </row>
    <row r="832" spans="1:11" x14ac:dyDescent="0.2">
      <c r="A832" s="70">
        <v>44676</v>
      </c>
      <c r="B832" s="57">
        <v>2370</v>
      </c>
      <c r="C832" s="57" t="s">
        <v>173</v>
      </c>
      <c r="D832" s="57" t="s">
        <v>177</v>
      </c>
      <c r="E832" s="57" t="s">
        <v>178</v>
      </c>
      <c r="F832" s="57">
        <f t="shared" si="16"/>
        <v>0</v>
      </c>
      <c r="G832" s="57">
        <v>25.781099999999999</v>
      </c>
      <c r="H832" s="57">
        <v>29.419</v>
      </c>
      <c r="I832" s="57">
        <v>27.538799999999998</v>
      </c>
      <c r="J832" s="33">
        <f t="shared" si="17"/>
        <v>3.6379000000000019</v>
      </c>
      <c r="K832" s="33">
        <f t="shared" si="18"/>
        <v>1.7576999999999998</v>
      </c>
    </row>
    <row r="833" spans="1:11" x14ac:dyDescent="0.2">
      <c r="A833" s="70">
        <v>44676</v>
      </c>
      <c r="B833" s="57">
        <v>2383</v>
      </c>
      <c r="C833" s="57" t="s">
        <v>176</v>
      </c>
      <c r="D833" s="57" t="s">
        <v>177</v>
      </c>
      <c r="E833" s="57" t="s">
        <v>175</v>
      </c>
      <c r="F833" s="57">
        <f t="shared" si="16"/>
        <v>0</v>
      </c>
      <c r="G833" s="57">
        <v>26.315999999999999</v>
      </c>
      <c r="H833" s="57">
        <v>26.162199999999999</v>
      </c>
      <c r="I833" s="57">
        <v>26.389500000000002</v>
      </c>
      <c r="J833" s="33">
        <f t="shared" si="17"/>
        <v>-0.15380000000000038</v>
      </c>
      <c r="K833" s="33">
        <f t="shared" si="18"/>
        <v>7.3500000000002785E-2</v>
      </c>
    </row>
    <row r="834" spans="1:11" x14ac:dyDescent="0.2">
      <c r="A834" s="70">
        <v>44676</v>
      </c>
      <c r="B834" s="57">
        <v>2380</v>
      </c>
      <c r="C834" s="57" t="s">
        <v>176</v>
      </c>
      <c r="D834" s="57" t="s">
        <v>174</v>
      </c>
      <c r="E834" s="57" t="s">
        <v>175</v>
      </c>
      <c r="F834" s="57">
        <f t="shared" si="16"/>
        <v>1</v>
      </c>
      <c r="G834" s="57">
        <v>25.6205</v>
      </c>
      <c r="H834" s="57">
        <v>26.883500000000002</v>
      </c>
      <c r="I834" s="57">
        <v>26.108799999999999</v>
      </c>
      <c r="J834" s="33">
        <f t="shared" si="17"/>
        <v>1.2630000000000017</v>
      </c>
      <c r="K834" s="33">
        <f t="shared" si="18"/>
        <v>0.48829999999999885</v>
      </c>
    </row>
    <row r="835" spans="1:11" x14ac:dyDescent="0.2">
      <c r="A835" s="70">
        <v>44676</v>
      </c>
      <c r="B835" s="57">
        <v>2354</v>
      </c>
      <c r="C835" s="57" t="s">
        <v>173</v>
      </c>
      <c r="D835" s="57" t="s">
        <v>174</v>
      </c>
      <c r="E835" s="57" t="s">
        <v>178</v>
      </c>
      <c r="F835" s="57">
        <f t="shared" si="16"/>
        <v>1</v>
      </c>
      <c r="G835" s="57">
        <v>26.066099999999999</v>
      </c>
      <c r="H835" s="57">
        <v>31.693000000000001</v>
      </c>
      <c r="I835" s="57">
        <v>29.3903</v>
      </c>
      <c r="J835" s="33">
        <f t="shared" si="17"/>
        <v>5.6269000000000027</v>
      </c>
      <c r="K835" s="33">
        <f t="shared" si="18"/>
        <v>3.3242000000000012</v>
      </c>
    </row>
    <row r="836" spans="1:11" x14ac:dyDescent="0.2">
      <c r="A836" s="70">
        <v>44676</v>
      </c>
      <c r="B836" s="57">
        <v>2369</v>
      </c>
      <c r="C836" s="57" t="s">
        <v>176</v>
      </c>
      <c r="D836" s="57" t="s">
        <v>177</v>
      </c>
      <c r="E836" s="57" t="s">
        <v>175</v>
      </c>
      <c r="F836" s="57">
        <f t="shared" si="16"/>
        <v>0</v>
      </c>
      <c r="G836" s="57">
        <v>25.811599999999999</v>
      </c>
      <c r="H836" s="57">
        <v>26.3078</v>
      </c>
      <c r="I836" s="57">
        <v>25.83</v>
      </c>
      <c r="J836" s="33">
        <f t="shared" si="17"/>
        <v>0.49620000000000175</v>
      </c>
      <c r="K836" s="33">
        <f t="shared" si="18"/>
        <v>1.839999999999975E-2</v>
      </c>
    </row>
    <row r="837" spans="1:11" x14ac:dyDescent="0.2">
      <c r="A837" s="70">
        <v>44676</v>
      </c>
      <c r="B837" s="57">
        <v>2371</v>
      </c>
      <c r="C837" s="57" t="s">
        <v>173</v>
      </c>
      <c r="D837" s="57" t="s">
        <v>177</v>
      </c>
      <c r="E837" s="57" t="s">
        <v>175</v>
      </c>
      <c r="F837" s="57">
        <f t="shared" si="16"/>
        <v>0</v>
      </c>
      <c r="G837" s="57">
        <v>25.9468</v>
      </c>
      <c r="H837" s="57">
        <v>26.812000000000001</v>
      </c>
      <c r="I837" s="57">
        <v>26.3522</v>
      </c>
      <c r="J837" s="33">
        <f t="shared" si="17"/>
        <v>0.86520000000000152</v>
      </c>
      <c r="K837" s="33">
        <f t="shared" si="18"/>
        <v>0.4054000000000002</v>
      </c>
    </row>
    <row r="838" spans="1:11" x14ac:dyDescent="0.2">
      <c r="A838" s="70">
        <v>44676</v>
      </c>
      <c r="B838" s="57">
        <v>2375</v>
      </c>
      <c r="C838" s="57" t="s">
        <v>173</v>
      </c>
      <c r="D838" s="57" t="s">
        <v>177</v>
      </c>
      <c r="E838" s="57" t="s">
        <v>175</v>
      </c>
      <c r="F838" s="57">
        <f t="shared" si="16"/>
        <v>0</v>
      </c>
      <c r="G838" s="57">
        <v>26.354800000000001</v>
      </c>
      <c r="H838" s="57">
        <v>26.93</v>
      </c>
      <c r="I838" s="57">
        <v>26.596900000000002</v>
      </c>
      <c r="J838" s="33">
        <f t="shared" si="17"/>
        <v>0.57519999999999882</v>
      </c>
      <c r="K838" s="33">
        <f t="shared" si="18"/>
        <v>0.24210000000000065</v>
      </c>
    </row>
    <row r="839" spans="1:11" x14ac:dyDescent="0.2">
      <c r="A839" s="70">
        <v>44676</v>
      </c>
      <c r="B839" s="57">
        <v>2010</v>
      </c>
      <c r="C839" s="57" t="s">
        <v>176</v>
      </c>
      <c r="D839" s="57" t="s">
        <v>177</v>
      </c>
      <c r="E839" s="57" t="s">
        <v>178</v>
      </c>
      <c r="F839" s="57">
        <f t="shared" si="16"/>
        <v>0</v>
      </c>
      <c r="G839" s="57">
        <v>25.4832</v>
      </c>
      <c r="H839" s="57">
        <v>29.035699999999999</v>
      </c>
      <c r="I839" s="57">
        <v>27.039200000000001</v>
      </c>
      <c r="J839" s="33">
        <f t="shared" si="17"/>
        <v>3.5524999999999984</v>
      </c>
      <c r="K839" s="33">
        <f t="shared" si="18"/>
        <v>1.5560000000000009</v>
      </c>
    </row>
    <row r="840" spans="1:11" x14ac:dyDescent="0.2">
      <c r="A840" s="70">
        <v>44676</v>
      </c>
      <c r="B840" s="57">
        <v>2346</v>
      </c>
      <c r="C840" s="57" t="s">
        <v>173</v>
      </c>
      <c r="D840" s="57" t="s">
        <v>177</v>
      </c>
      <c r="E840" s="57" t="s">
        <v>178</v>
      </c>
      <c r="F840" s="57">
        <f t="shared" si="16"/>
        <v>0</v>
      </c>
      <c r="G840" s="57">
        <v>26.402899999999999</v>
      </c>
      <c r="H840" s="57">
        <v>29.553000000000001</v>
      </c>
      <c r="I840" s="57">
        <v>28.005600000000001</v>
      </c>
      <c r="J840" s="33">
        <f t="shared" si="17"/>
        <v>3.1501000000000019</v>
      </c>
      <c r="K840" s="33">
        <f t="shared" si="18"/>
        <v>1.6027000000000022</v>
      </c>
    </row>
    <row r="841" spans="1:11" x14ac:dyDescent="0.2">
      <c r="A841" s="70">
        <v>44676</v>
      </c>
      <c r="B841" s="57">
        <v>2370</v>
      </c>
      <c r="C841" s="57" t="s">
        <v>173</v>
      </c>
      <c r="D841" s="57" t="s">
        <v>177</v>
      </c>
      <c r="E841" s="57" t="s">
        <v>175</v>
      </c>
      <c r="F841" s="57">
        <f t="shared" si="16"/>
        <v>0</v>
      </c>
      <c r="G841" s="57">
        <v>25.7559</v>
      </c>
      <c r="H841" s="57">
        <v>26.411999999999999</v>
      </c>
      <c r="I841" s="57">
        <v>25.871200000000002</v>
      </c>
      <c r="J841" s="33">
        <f t="shared" si="17"/>
        <v>0.65609999999999857</v>
      </c>
      <c r="K841" s="33">
        <f t="shared" si="18"/>
        <v>0.11530000000000129</v>
      </c>
    </row>
    <row r="842" spans="1:11" x14ac:dyDescent="0.2">
      <c r="A842" s="70">
        <v>44676</v>
      </c>
      <c r="B842" s="57">
        <v>2347</v>
      </c>
      <c r="C842" s="57" t="s">
        <v>173</v>
      </c>
      <c r="D842" s="57" t="s">
        <v>177</v>
      </c>
      <c r="E842" s="57" t="s">
        <v>175</v>
      </c>
      <c r="F842" s="57">
        <f t="shared" si="16"/>
        <v>0</v>
      </c>
      <c r="G842" s="57">
        <v>25.4543</v>
      </c>
      <c r="H842" s="57">
        <v>25.797999999999998</v>
      </c>
      <c r="I842" s="57">
        <v>25.6204</v>
      </c>
      <c r="J842" s="33">
        <f t="shared" si="17"/>
        <v>0.34369999999999834</v>
      </c>
      <c r="K842" s="33">
        <f t="shared" si="18"/>
        <v>0.16610000000000014</v>
      </c>
    </row>
    <row r="843" spans="1:11" x14ac:dyDescent="0.2">
      <c r="A843" s="70">
        <v>44676</v>
      </c>
      <c r="B843" s="57">
        <v>2379</v>
      </c>
      <c r="C843" s="57" t="s">
        <v>176</v>
      </c>
      <c r="D843" s="57" t="s">
        <v>177</v>
      </c>
      <c r="E843" s="57" t="s">
        <v>175</v>
      </c>
      <c r="F843" s="57">
        <f t="shared" si="16"/>
        <v>0</v>
      </c>
      <c r="G843" s="57">
        <v>15.077</v>
      </c>
      <c r="H843" s="57">
        <v>15.590400000000001</v>
      </c>
      <c r="I843" s="57">
        <v>15.113</v>
      </c>
      <c r="J843" s="33">
        <f t="shared" si="17"/>
        <v>0.51340000000000074</v>
      </c>
      <c r="K843" s="33">
        <f t="shared" si="18"/>
        <v>3.5999999999999588E-2</v>
      </c>
    </row>
    <row r="844" spans="1:11" x14ac:dyDescent="0.2">
      <c r="A844" s="70">
        <v>44676</v>
      </c>
      <c r="B844" s="57">
        <v>2011</v>
      </c>
      <c r="C844" s="57" t="s">
        <v>173</v>
      </c>
      <c r="D844" s="57" t="s">
        <v>174</v>
      </c>
      <c r="E844" s="57" t="s">
        <v>175</v>
      </c>
      <c r="F844" s="57">
        <f t="shared" si="16"/>
        <v>1</v>
      </c>
      <c r="G844" s="57">
        <v>26.503399999999999</v>
      </c>
      <c r="H844" s="57">
        <v>27.821000000000002</v>
      </c>
      <c r="I844" s="57">
        <v>27.220700000000001</v>
      </c>
      <c r="J844" s="33">
        <f t="shared" si="17"/>
        <v>1.3176000000000023</v>
      </c>
      <c r="K844" s="33">
        <f t="shared" si="18"/>
        <v>0.7173000000000016</v>
      </c>
    </row>
    <row r="845" spans="1:11" x14ac:dyDescent="0.2">
      <c r="A845" s="70">
        <v>44676</v>
      </c>
      <c r="B845" s="57">
        <v>2345</v>
      </c>
      <c r="C845" s="57" t="s">
        <v>173</v>
      </c>
      <c r="D845" s="57" t="s">
        <v>174</v>
      </c>
      <c r="E845" s="57" t="s">
        <v>175</v>
      </c>
      <c r="F845" s="57">
        <f t="shared" si="16"/>
        <v>1</v>
      </c>
      <c r="G845" s="57">
        <v>25.773299999999999</v>
      </c>
      <c r="H845" s="57">
        <v>27.036000000000001</v>
      </c>
      <c r="I845" s="57">
        <v>26.269200000000001</v>
      </c>
      <c r="J845" s="33">
        <f t="shared" si="17"/>
        <v>1.2627000000000024</v>
      </c>
      <c r="K845" s="33">
        <f t="shared" si="18"/>
        <v>0.49590000000000245</v>
      </c>
    </row>
    <row r="846" spans="1:11" x14ac:dyDescent="0.2">
      <c r="A846" s="70">
        <v>44678</v>
      </c>
      <c r="B846" s="57">
        <v>2022</v>
      </c>
      <c r="C846" s="57" t="s">
        <v>173</v>
      </c>
      <c r="D846" s="57" t="s">
        <v>177</v>
      </c>
      <c r="E846" s="57" t="s">
        <v>178</v>
      </c>
      <c r="F846" s="57">
        <f t="shared" si="16"/>
        <v>0</v>
      </c>
      <c r="G846" s="57">
        <v>26.572700000000001</v>
      </c>
      <c r="H846" s="57">
        <v>31.126999999999999</v>
      </c>
      <c r="I846" s="57">
        <v>28.819900000000001</v>
      </c>
      <c r="J846" s="33">
        <f t="shared" si="17"/>
        <v>4.5542999999999978</v>
      </c>
      <c r="K846" s="33">
        <f t="shared" si="18"/>
        <v>2.2471999999999994</v>
      </c>
    </row>
    <row r="847" spans="1:11" x14ac:dyDescent="0.2">
      <c r="A847" s="70">
        <v>44678</v>
      </c>
      <c r="B847" s="57">
        <v>2091</v>
      </c>
      <c r="C847" s="57" t="s">
        <v>173</v>
      </c>
      <c r="D847" s="57" t="s">
        <v>174</v>
      </c>
      <c r="E847" s="57" t="s">
        <v>175</v>
      </c>
      <c r="F847" s="57">
        <f t="shared" si="16"/>
        <v>1</v>
      </c>
      <c r="G847" s="57">
        <v>26.5318</v>
      </c>
      <c r="H847" s="57">
        <v>27.300999999999998</v>
      </c>
      <c r="I847" s="57">
        <v>27.099699999999999</v>
      </c>
      <c r="J847" s="33">
        <f t="shared" si="17"/>
        <v>0.76919999999999789</v>
      </c>
      <c r="K847" s="33">
        <f t="shared" si="18"/>
        <v>0.56789999999999807</v>
      </c>
    </row>
    <row r="848" spans="1:11" x14ac:dyDescent="0.2">
      <c r="A848" s="70">
        <v>44676</v>
      </c>
      <c r="B848" s="57">
        <v>2372</v>
      </c>
      <c r="C848" s="57" t="s">
        <v>176</v>
      </c>
      <c r="D848" s="57" t="s">
        <v>177</v>
      </c>
      <c r="E848" s="57" t="s">
        <v>175</v>
      </c>
      <c r="F848" s="57">
        <f t="shared" si="16"/>
        <v>0</v>
      </c>
      <c r="G848" s="57">
        <v>26.370799999999999</v>
      </c>
      <c r="H848" s="57">
        <v>26.686800000000002</v>
      </c>
      <c r="I848" s="57">
        <v>26.474699999999999</v>
      </c>
      <c r="J848" s="33">
        <f t="shared" si="17"/>
        <v>0.3160000000000025</v>
      </c>
      <c r="K848" s="33">
        <f t="shared" si="18"/>
        <v>0.10389999999999944</v>
      </c>
    </row>
    <row r="849" spans="1:11" x14ac:dyDescent="0.2">
      <c r="A849" s="70">
        <v>44678</v>
      </c>
      <c r="B849" s="57">
        <v>2090</v>
      </c>
      <c r="C849" s="57" t="s">
        <v>173</v>
      </c>
      <c r="D849" s="57" t="s">
        <v>177</v>
      </c>
      <c r="E849" s="57" t="s">
        <v>175</v>
      </c>
      <c r="F849" s="57">
        <f t="shared" si="16"/>
        <v>0</v>
      </c>
      <c r="G849" s="57">
        <v>25.855599999999999</v>
      </c>
      <c r="H849" s="57">
        <v>26.597000000000001</v>
      </c>
      <c r="I849" s="57">
        <v>26.1508</v>
      </c>
      <c r="J849" s="33">
        <f t="shared" si="17"/>
        <v>0.74140000000000228</v>
      </c>
      <c r="K849" s="33">
        <f t="shared" si="18"/>
        <v>0.29520000000000124</v>
      </c>
    </row>
    <row r="850" spans="1:11" x14ac:dyDescent="0.2">
      <c r="A850" s="70">
        <v>44676</v>
      </c>
      <c r="B850" s="57">
        <v>2380</v>
      </c>
      <c r="C850" s="57" t="s">
        <v>173</v>
      </c>
      <c r="D850" s="57" t="s">
        <v>177</v>
      </c>
      <c r="E850" s="57" t="s">
        <v>175</v>
      </c>
      <c r="F850" s="57">
        <f t="shared" si="16"/>
        <v>0</v>
      </c>
      <c r="G850" s="57">
        <v>26.616499999999998</v>
      </c>
      <c r="H850" s="57">
        <v>26.786999999999999</v>
      </c>
      <c r="I850" s="57">
        <v>26.746400000000001</v>
      </c>
      <c r="J850" s="33">
        <f t="shared" si="17"/>
        <v>0.17050000000000054</v>
      </c>
      <c r="K850" s="33">
        <f t="shared" si="18"/>
        <v>0.12990000000000279</v>
      </c>
    </row>
    <row r="851" spans="1:11" x14ac:dyDescent="0.2">
      <c r="A851" s="70">
        <v>44676</v>
      </c>
      <c r="B851" s="57">
        <v>2378</v>
      </c>
      <c r="C851" s="57" t="s">
        <v>173</v>
      </c>
      <c r="D851" s="57" t="s">
        <v>177</v>
      </c>
      <c r="E851" s="57" t="s">
        <v>178</v>
      </c>
      <c r="F851" s="57">
        <f t="shared" si="16"/>
        <v>0</v>
      </c>
      <c r="G851" s="57">
        <v>25.933</v>
      </c>
      <c r="H851" s="57">
        <v>30.332999999999998</v>
      </c>
      <c r="I851" s="57">
        <v>28.113800000000001</v>
      </c>
      <c r="J851" s="33">
        <f t="shared" si="17"/>
        <v>4.3999999999999986</v>
      </c>
      <c r="K851" s="33">
        <f t="shared" si="18"/>
        <v>2.1808000000000014</v>
      </c>
    </row>
    <row r="852" spans="1:11" x14ac:dyDescent="0.2">
      <c r="A852" s="70">
        <v>44676</v>
      </c>
      <c r="B852" s="57">
        <v>2382</v>
      </c>
      <c r="C852" s="57" t="s">
        <v>173</v>
      </c>
      <c r="D852" s="57" t="s">
        <v>177</v>
      </c>
      <c r="E852" s="57" t="s">
        <v>175</v>
      </c>
      <c r="F852" s="57">
        <f t="shared" si="16"/>
        <v>0</v>
      </c>
      <c r="G852" s="57">
        <v>26.491299999999999</v>
      </c>
      <c r="H852" s="57">
        <v>26.981000000000002</v>
      </c>
      <c r="I852" s="57">
        <v>26.6875</v>
      </c>
      <c r="J852" s="33">
        <f t="shared" si="17"/>
        <v>0.48970000000000269</v>
      </c>
      <c r="K852" s="33">
        <f t="shared" si="18"/>
        <v>0.19620000000000104</v>
      </c>
    </row>
    <row r="853" spans="1:11" x14ac:dyDescent="0.2">
      <c r="A853" s="70">
        <v>44676</v>
      </c>
      <c r="B853" s="57">
        <v>2380</v>
      </c>
      <c r="C853" s="57" t="s">
        <v>173</v>
      </c>
      <c r="D853" s="57" t="s">
        <v>177</v>
      </c>
      <c r="E853" s="57" t="s">
        <v>178</v>
      </c>
      <c r="F853" s="57">
        <f t="shared" si="16"/>
        <v>0</v>
      </c>
      <c r="G853" s="57">
        <v>25.944199999999999</v>
      </c>
      <c r="H853" s="57">
        <v>28.728999999999999</v>
      </c>
      <c r="I853" s="57">
        <v>27.420300000000001</v>
      </c>
      <c r="J853" s="33">
        <f t="shared" si="17"/>
        <v>2.7848000000000006</v>
      </c>
      <c r="K853" s="33">
        <f t="shared" si="18"/>
        <v>1.4761000000000024</v>
      </c>
    </row>
    <row r="854" spans="1:11" x14ac:dyDescent="0.2">
      <c r="A854" s="70">
        <v>44678</v>
      </c>
      <c r="B854" s="57">
        <v>2022</v>
      </c>
      <c r="C854" s="57" t="s">
        <v>173</v>
      </c>
      <c r="D854" s="57" t="s">
        <v>177</v>
      </c>
      <c r="E854" s="57" t="s">
        <v>175</v>
      </c>
      <c r="F854" s="57">
        <f t="shared" si="16"/>
        <v>0</v>
      </c>
      <c r="G854" s="57">
        <v>15.153700000000001</v>
      </c>
      <c r="H854" s="57">
        <v>15.574999999999999</v>
      </c>
      <c r="I854" s="57">
        <v>15.29</v>
      </c>
      <c r="J854" s="33">
        <f t="shared" si="17"/>
        <v>0.42129999999999868</v>
      </c>
      <c r="K854" s="33">
        <f t="shared" si="18"/>
        <v>0.13629999999999853</v>
      </c>
    </row>
    <row r="855" spans="1:11" x14ac:dyDescent="0.2">
      <c r="A855" s="70">
        <v>44678</v>
      </c>
      <c r="B855" s="57">
        <v>2005</v>
      </c>
      <c r="C855" s="57" t="s">
        <v>173</v>
      </c>
      <c r="D855" s="57" t="s">
        <v>174</v>
      </c>
      <c r="E855" s="57" t="s">
        <v>175</v>
      </c>
      <c r="F855" s="57">
        <f t="shared" si="16"/>
        <v>1</v>
      </c>
      <c r="G855" s="57">
        <v>25.591799999999999</v>
      </c>
      <c r="H855" s="57">
        <v>27.36</v>
      </c>
      <c r="I855" s="57">
        <v>26.311299999999999</v>
      </c>
      <c r="J855" s="33">
        <f t="shared" si="17"/>
        <v>1.7682000000000002</v>
      </c>
      <c r="K855" s="33">
        <f t="shared" si="18"/>
        <v>0.71950000000000003</v>
      </c>
    </row>
    <row r="856" spans="1:11" x14ac:dyDescent="0.2">
      <c r="A856" s="70">
        <v>44676</v>
      </c>
      <c r="B856" s="57">
        <v>2378</v>
      </c>
      <c r="C856" s="57" t="s">
        <v>173</v>
      </c>
      <c r="D856" s="57" t="s">
        <v>177</v>
      </c>
      <c r="E856" s="57" t="s">
        <v>175</v>
      </c>
      <c r="F856" s="57">
        <f t="shared" si="16"/>
        <v>0</v>
      </c>
      <c r="G856" s="57">
        <v>26.389299999999999</v>
      </c>
      <c r="H856" s="57">
        <v>26.853999999999999</v>
      </c>
      <c r="I856" s="57">
        <v>26.604199999999999</v>
      </c>
      <c r="J856" s="33">
        <f t="shared" si="17"/>
        <v>0.46470000000000056</v>
      </c>
      <c r="K856" s="33">
        <f t="shared" si="18"/>
        <v>0.21490000000000009</v>
      </c>
    </row>
    <row r="857" spans="1:11" x14ac:dyDescent="0.2">
      <c r="A857" s="70">
        <v>44676</v>
      </c>
      <c r="B857" s="57">
        <v>2378</v>
      </c>
      <c r="C857" s="57" t="s">
        <v>173</v>
      </c>
      <c r="D857" s="57" t="s">
        <v>174</v>
      </c>
      <c r="E857" s="57" t="s">
        <v>175</v>
      </c>
      <c r="F857" s="57">
        <f t="shared" si="16"/>
        <v>1</v>
      </c>
      <c r="G857" s="57">
        <v>25.944299999999998</v>
      </c>
      <c r="H857" s="57">
        <v>26.288</v>
      </c>
      <c r="I857" s="57">
        <v>26.346</v>
      </c>
      <c r="J857" s="33">
        <f t="shared" si="17"/>
        <v>0.34370000000000189</v>
      </c>
      <c r="K857" s="33">
        <f t="shared" si="18"/>
        <v>0.40170000000000172</v>
      </c>
    </row>
    <row r="858" spans="1:11" x14ac:dyDescent="0.2">
      <c r="A858" s="70">
        <v>44678</v>
      </c>
      <c r="B858" s="57">
        <v>2026</v>
      </c>
      <c r="C858" s="57" t="s">
        <v>173</v>
      </c>
      <c r="D858" s="57" t="s">
        <v>177</v>
      </c>
      <c r="E858" s="57" t="s">
        <v>175</v>
      </c>
      <c r="F858" s="57">
        <f t="shared" si="16"/>
        <v>0</v>
      </c>
      <c r="G858" s="57">
        <v>25.672599999999999</v>
      </c>
      <c r="H858" s="57">
        <v>26.6</v>
      </c>
      <c r="I858" s="57">
        <v>26.067</v>
      </c>
      <c r="J858" s="33">
        <f t="shared" si="17"/>
        <v>0.92740000000000222</v>
      </c>
      <c r="K858" s="33">
        <f t="shared" si="18"/>
        <v>0.39440000000000097</v>
      </c>
    </row>
    <row r="859" spans="1:11" x14ac:dyDescent="0.2">
      <c r="A859" s="70">
        <v>44676</v>
      </c>
      <c r="B859" s="57">
        <v>2360</v>
      </c>
      <c r="C859" s="57" t="s">
        <v>173</v>
      </c>
      <c r="D859" s="57" t="s">
        <v>177</v>
      </c>
      <c r="E859" s="57" t="s">
        <v>175</v>
      </c>
      <c r="F859" s="57">
        <f t="shared" si="16"/>
        <v>0</v>
      </c>
      <c r="G859" s="57">
        <v>25.503399999999999</v>
      </c>
      <c r="H859" s="57">
        <v>26.24</v>
      </c>
      <c r="I859" s="57">
        <v>25.7</v>
      </c>
      <c r="J859" s="33">
        <f t="shared" si="17"/>
        <v>0.73659999999999926</v>
      </c>
      <c r="K859" s="33">
        <f t="shared" si="18"/>
        <v>0.19660000000000011</v>
      </c>
    </row>
    <row r="860" spans="1:11" x14ac:dyDescent="0.2">
      <c r="A860" s="70">
        <v>44676</v>
      </c>
      <c r="B860" s="57">
        <v>2381</v>
      </c>
      <c r="C860" s="57" t="s">
        <v>173</v>
      </c>
      <c r="D860" s="57" t="s">
        <v>174</v>
      </c>
      <c r="E860" s="57" t="s">
        <v>175</v>
      </c>
      <c r="F860" s="57">
        <f t="shared" si="16"/>
        <v>1</v>
      </c>
      <c r="G860" s="57">
        <v>15.9963</v>
      </c>
      <c r="H860" s="57">
        <v>16.097999999999999</v>
      </c>
      <c r="I860" s="57">
        <v>16.231000000000002</v>
      </c>
      <c r="J860" s="33">
        <f t="shared" si="17"/>
        <v>0.10169999999999924</v>
      </c>
      <c r="K860" s="33">
        <f t="shared" si="18"/>
        <v>0.23470000000000191</v>
      </c>
    </row>
    <row r="861" spans="1:11" x14ac:dyDescent="0.2">
      <c r="A861" s="70">
        <v>44678</v>
      </c>
      <c r="B861" s="57">
        <v>2030</v>
      </c>
      <c r="C861" s="57" t="s">
        <v>173</v>
      </c>
      <c r="D861" s="57" t="s">
        <v>177</v>
      </c>
      <c r="E861" s="57" t="s">
        <v>178</v>
      </c>
      <c r="F861" s="57">
        <f t="shared" si="16"/>
        <v>0</v>
      </c>
      <c r="G861" s="57">
        <v>25.882300000000001</v>
      </c>
      <c r="H861" s="57">
        <v>31.975000000000001</v>
      </c>
      <c r="I861" s="57">
        <v>28.856999999999999</v>
      </c>
      <c r="J861" s="33">
        <f t="shared" si="17"/>
        <v>6.0927000000000007</v>
      </c>
      <c r="K861" s="33">
        <f t="shared" si="18"/>
        <v>2.9746999999999986</v>
      </c>
    </row>
    <row r="862" spans="1:11" x14ac:dyDescent="0.2">
      <c r="A862" s="70">
        <v>44676</v>
      </c>
      <c r="B862" s="57">
        <v>2367</v>
      </c>
      <c r="C862" s="57" t="s">
        <v>173</v>
      </c>
      <c r="D862" s="57" t="s">
        <v>177</v>
      </c>
      <c r="E862" s="57" t="s">
        <v>178</v>
      </c>
      <c r="F862" s="57">
        <f t="shared" si="16"/>
        <v>0</v>
      </c>
      <c r="G862" s="57">
        <v>25.927399999999999</v>
      </c>
      <c r="H862" s="57">
        <v>31.885000000000002</v>
      </c>
      <c r="I862" s="57">
        <v>28.6435</v>
      </c>
      <c r="J862" s="33">
        <f t="shared" si="17"/>
        <v>5.9576000000000029</v>
      </c>
      <c r="K862" s="33">
        <f t="shared" si="18"/>
        <v>2.7161000000000008</v>
      </c>
    </row>
    <row r="863" spans="1:11" x14ac:dyDescent="0.2">
      <c r="A863" s="70">
        <v>44676</v>
      </c>
      <c r="B863" s="57">
        <v>2375</v>
      </c>
      <c r="C863" s="57" t="s">
        <v>173</v>
      </c>
      <c r="D863" s="57" t="s">
        <v>177</v>
      </c>
      <c r="E863" s="57" t="s">
        <v>178</v>
      </c>
      <c r="F863" s="57">
        <f t="shared" si="16"/>
        <v>0</v>
      </c>
      <c r="G863" s="57">
        <v>26.218699999999998</v>
      </c>
      <c r="H863" s="57">
        <v>31.135999999999999</v>
      </c>
      <c r="I863" s="57">
        <v>28.793700000000001</v>
      </c>
      <c r="J863" s="33">
        <f t="shared" si="17"/>
        <v>4.9173000000000009</v>
      </c>
      <c r="K863" s="33">
        <f t="shared" si="18"/>
        <v>2.5750000000000028</v>
      </c>
    </row>
    <row r="864" spans="1:11" x14ac:dyDescent="0.2">
      <c r="A864" s="70">
        <v>44676</v>
      </c>
      <c r="B864" s="57">
        <v>2369</v>
      </c>
      <c r="C864" s="57" t="s">
        <v>173</v>
      </c>
      <c r="D864" s="57" t="s">
        <v>177</v>
      </c>
      <c r="E864" s="57" t="s">
        <v>175</v>
      </c>
      <c r="F864" s="57">
        <f t="shared" si="16"/>
        <v>0</v>
      </c>
      <c r="G864" s="57">
        <v>26.267700000000001</v>
      </c>
      <c r="H864" s="57">
        <v>26.82</v>
      </c>
      <c r="I864" s="57">
        <v>26.523099999999999</v>
      </c>
      <c r="J864" s="33">
        <f t="shared" si="17"/>
        <v>0.5522999999999989</v>
      </c>
      <c r="K864" s="33">
        <f t="shared" si="18"/>
        <v>0.25539999999999807</v>
      </c>
    </row>
    <row r="865" spans="1:11" x14ac:dyDescent="0.2">
      <c r="A865" s="70">
        <v>44676</v>
      </c>
      <c r="B865" s="57">
        <v>2343</v>
      </c>
      <c r="C865" s="57" t="s">
        <v>173</v>
      </c>
      <c r="D865" s="57" t="s">
        <v>177</v>
      </c>
      <c r="E865" s="57" t="s">
        <v>175</v>
      </c>
      <c r="F865" s="57">
        <f t="shared" si="16"/>
        <v>0</v>
      </c>
      <c r="G865" s="57">
        <v>26.105</v>
      </c>
      <c r="H865" s="57">
        <v>26.693000000000001</v>
      </c>
      <c r="I865" s="57">
        <v>26.3215</v>
      </c>
      <c r="J865" s="33">
        <f t="shared" si="17"/>
        <v>0.58800000000000097</v>
      </c>
      <c r="K865" s="33">
        <f t="shared" si="18"/>
        <v>0.21649999999999991</v>
      </c>
    </row>
    <row r="866" spans="1:11" x14ac:dyDescent="0.2">
      <c r="A866" s="70">
        <v>44678</v>
      </c>
      <c r="B866" s="57">
        <v>2091</v>
      </c>
      <c r="C866" s="57" t="s">
        <v>173</v>
      </c>
      <c r="D866" s="57" t="s">
        <v>174</v>
      </c>
      <c r="E866" s="57" t="s">
        <v>178</v>
      </c>
      <c r="F866" s="57">
        <f t="shared" si="16"/>
        <v>1</v>
      </c>
      <c r="G866" s="57">
        <v>25.585599999999999</v>
      </c>
      <c r="H866" s="57">
        <v>28.914999999999999</v>
      </c>
      <c r="I866" s="57">
        <v>27.290800000000001</v>
      </c>
      <c r="J866" s="33">
        <f t="shared" si="17"/>
        <v>3.3293999999999997</v>
      </c>
      <c r="K866" s="33">
        <f t="shared" si="18"/>
        <v>1.7052000000000014</v>
      </c>
    </row>
    <row r="867" spans="1:11" x14ac:dyDescent="0.2">
      <c r="A867" s="70">
        <v>44676</v>
      </c>
      <c r="B867" s="57">
        <v>2375</v>
      </c>
      <c r="C867" s="57" t="s">
        <v>176</v>
      </c>
      <c r="D867" s="57" t="s">
        <v>177</v>
      </c>
      <c r="E867" s="57" t="s">
        <v>175</v>
      </c>
      <c r="F867" s="57">
        <f t="shared" si="16"/>
        <v>0</v>
      </c>
      <c r="G867" s="57">
        <v>25.871400000000001</v>
      </c>
      <c r="H867" s="57">
        <v>26.125499999999999</v>
      </c>
      <c r="I867" s="57">
        <v>25.965199999999999</v>
      </c>
      <c r="J867" s="33">
        <f t="shared" si="17"/>
        <v>0.25409999999999755</v>
      </c>
      <c r="K867" s="33">
        <f t="shared" si="18"/>
        <v>9.3799999999998107E-2</v>
      </c>
    </row>
    <row r="868" spans="1:11" x14ac:dyDescent="0.2">
      <c r="A868" s="70">
        <v>44676</v>
      </c>
      <c r="B868" s="57">
        <v>2381</v>
      </c>
      <c r="C868" s="57" t="s">
        <v>173</v>
      </c>
      <c r="D868" s="57" t="s">
        <v>177</v>
      </c>
      <c r="E868" s="57" t="s">
        <v>178</v>
      </c>
      <c r="F868" s="57">
        <f t="shared" si="16"/>
        <v>0</v>
      </c>
      <c r="G868" s="57">
        <v>26.033200000000001</v>
      </c>
      <c r="H868" s="57">
        <v>31.006</v>
      </c>
      <c r="I868" s="57">
        <v>28.497699999999998</v>
      </c>
      <c r="J868" s="33">
        <f t="shared" si="17"/>
        <v>4.9727999999999994</v>
      </c>
      <c r="K868" s="33">
        <f t="shared" si="18"/>
        <v>2.4644999999999975</v>
      </c>
    </row>
    <row r="869" spans="1:11" x14ac:dyDescent="0.2">
      <c r="A869" s="70">
        <v>44676</v>
      </c>
      <c r="B869" s="57">
        <v>2378</v>
      </c>
      <c r="C869" s="57" t="s">
        <v>176</v>
      </c>
      <c r="D869" s="57" t="s">
        <v>177</v>
      </c>
      <c r="E869" s="57" t="s">
        <v>178</v>
      </c>
      <c r="F869" s="57">
        <f t="shared" si="16"/>
        <v>0</v>
      </c>
      <c r="G869" s="57">
        <v>25.587299999999999</v>
      </c>
      <c r="H869" s="57">
        <v>30.005299999999998</v>
      </c>
      <c r="I869" s="57">
        <v>27.5975</v>
      </c>
      <c r="J869" s="33">
        <f t="shared" si="17"/>
        <v>4.4179999999999993</v>
      </c>
      <c r="K869" s="33">
        <f t="shared" si="18"/>
        <v>2.0102000000000011</v>
      </c>
    </row>
    <row r="870" spans="1:11" x14ac:dyDescent="0.2">
      <c r="A870" s="70">
        <v>44676</v>
      </c>
      <c r="B870" s="57">
        <v>2346</v>
      </c>
      <c r="C870" s="57" t="s">
        <v>176</v>
      </c>
      <c r="D870" s="57" t="s">
        <v>177</v>
      </c>
      <c r="E870" s="57" t="s">
        <v>175</v>
      </c>
      <c r="F870" s="57">
        <f t="shared" si="16"/>
        <v>0</v>
      </c>
      <c r="G870" s="57">
        <v>26.0077</v>
      </c>
      <c r="H870" s="57">
        <v>26.094899999999999</v>
      </c>
      <c r="I870" s="57">
        <v>26.03</v>
      </c>
      <c r="J870" s="33">
        <f t="shared" si="17"/>
        <v>8.7199999999999278E-2</v>
      </c>
      <c r="K870" s="33">
        <f t="shared" si="18"/>
        <v>2.2300000000001319E-2</v>
      </c>
    </row>
    <row r="871" spans="1:11" x14ac:dyDescent="0.2">
      <c r="A871" s="70">
        <v>44676</v>
      </c>
      <c r="B871" s="57">
        <v>2382</v>
      </c>
      <c r="C871" s="57" t="s">
        <v>173</v>
      </c>
      <c r="D871" s="57" t="s">
        <v>174</v>
      </c>
      <c r="E871" s="57" t="s">
        <v>175</v>
      </c>
      <c r="F871" s="57">
        <f t="shared" si="16"/>
        <v>1</v>
      </c>
      <c r="G871" s="57">
        <v>15.9537</v>
      </c>
      <c r="H871" s="57">
        <v>17.501999999999999</v>
      </c>
      <c r="I871" s="57">
        <v>16.992000000000001</v>
      </c>
      <c r="J871" s="33">
        <f t="shared" si="17"/>
        <v>1.5482999999999993</v>
      </c>
      <c r="K871" s="33">
        <f t="shared" si="18"/>
        <v>1.0383000000000013</v>
      </c>
    </row>
    <row r="872" spans="1:11" x14ac:dyDescent="0.2">
      <c r="A872" s="70">
        <v>44676</v>
      </c>
      <c r="B872" s="57">
        <v>2376</v>
      </c>
      <c r="C872" s="57" t="s">
        <v>173</v>
      </c>
      <c r="D872" s="57" t="s">
        <v>174</v>
      </c>
      <c r="E872" s="57" t="s">
        <v>178</v>
      </c>
      <c r="F872" s="57">
        <f t="shared" si="16"/>
        <v>1</v>
      </c>
      <c r="G872" s="57">
        <v>25.778500000000001</v>
      </c>
      <c r="H872" s="57">
        <v>35.816000000000003</v>
      </c>
      <c r="I872" s="57">
        <v>30.972999999999999</v>
      </c>
      <c r="J872" s="33">
        <f t="shared" si="17"/>
        <v>10.037500000000001</v>
      </c>
      <c r="K872" s="33">
        <f t="shared" si="18"/>
        <v>5.1944999999999979</v>
      </c>
    </row>
    <row r="873" spans="1:11" x14ac:dyDescent="0.2">
      <c r="A873" s="70">
        <v>44678</v>
      </c>
      <c r="B873" s="57">
        <v>2022</v>
      </c>
      <c r="C873" s="57" t="s">
        <v>173</v>
      </c>
      <c r="D873" s="57" t="s">
        <v>174</v>
      </c>
      <c r="E873" s="57" t="s">
        <v>175</v>
      </c>
      <c r="F873" s="57">
        <f t="shared" si="16"/>
        <v>1</v>
      </c>
      <c r="G873" s="57">
        <v>25.478100000000001</v>
      </c>
      <c r="H873" s="57">
        <v>27.297999999999998</v>
      </c>
      <c r="I873" s="57">
        <v>26.303999999999998</v>
      </c>
      <c r="J873" s="33">
        <f t="shared" si="17"/>
        <v>1.819899999999997</v>
      </c>
      <c r="K873" s="33">
        <f t="shared" si="18"/>
        <v>0.82589999999999719</v>
      </c>
    </row>
    <row r="874" spans="1:11" x14ac:dyDescent="0.2">
      <c r="A874" s="70">
        <v>44678</v>
      </c>
      <c r="B874" s="57">
        <v>2006</v>
      </c>
      <c r="C874" s="57" t="s">
        <v>173</v>
      </c>
      <c r="D874" s="57" t="s">
        <v>174</v>
      </c>
      <c r="E874" s="57" t="s">
        <v>175</v>
      </c>
      <c r="F874" s="57">
        <f t="shared" si="16"/>
        <v>1</v>
      </c>
      <c r="G874" s="57">
        <v>26.555</v>
      </c>
      <c r="H874" s="57">
        <v>26.88</v>
      </c>
      <c r="I874" s="57">
        <v>26.915299999999998</v>
      </c>
      <c r="J874" s="33">
        <f t="shared" si="17"/>
        <v>0.32499999999999929</v>
      </c>
      <c r="K874" s="33">
        <f t="shared" si="18"/>
        <v>0.36029999999999873</v>
      </c>
    </row>
    <row r="875" spans="1:11" x14ac:dyDescent="0.2">
      <c r="A875" s="70">
        <v>44678</v>
      </c>
      <c r="B875" s="57">
        <v>2025</v>
      </c>
      <c r="C875" s="57" t="s">
        <v>173</v>
      </c>
      <c r="D875" s="57" t="s">
        <v>177</v>
      </c>
      <c r="E875" s="57" t="s">
        <v>178</v>
      </c>
      <c r="F875" s="57">
        <f t="shared" si="16"/>
        <v>0</v>
      </c>
      <c r="G875" s="57">
        <v>25.884899999999998</v>
      </c>
      <c r="H875" s="57">
        <v>31.542000000000002</v>
      </c>
      <c r="I875" s="57">
        <v>28.6462</v>
      </c>
      <c r="J875" s="33">
        <f t="shared" si="17"/>
        <v>5.6571000000000033</v>
      </c>
      <c r="K875" s="33">
        <f t="shared" si="18"/>
        <v>2.7613000000000021</v>
      </c>
    </row>
    <row r="876" spans="1:11" x14ac:dyDescent="0.2">
      <c r="A876" s="70">
        <v>44676</v>
      </c>
      <c r="B876" s="57">
        <v>2371</v>
      </c>
      <c r="C876" s="57" t="s">
        <v>173</v>
      </c>
      <c r="D876" s="57" t="s">
        <v>177</v>
      </c>
      <c r="E876" s="57" t="s">
        <v>178</v>
      </c>
      <c r="F876" s="57">
        <f t="shared" si="16"/>
        <v>0</v>
      </c>
      <c r="G876" s="57">
        <v>26.608000000000001</v>
      </c>
      <c r="H876" s="57">
        <v>33.218000000000004</v>
      </c>
      <c r="I876" s="57">
        <v>29.9742</v>
      </c>
      <c r="J876" s="33">
        <f t="shared" si="17"/>
        <v>6.610000000000003</v>
      </c>
      <c r="K876" s="33">
        <f t="shared" si="18"/>
        <v>3.3661999999999992</v>
      </c>
    </row>
    <row r="877" spans="1:11" x14ac:dyDescent="0.2">
      <c r="A877" s="70">
        <v>44678</v>
      </c>
      <c r="B877" s="57">
        <v>2086</v>
      </c>
      <c r="C877" s="57" t="s">
        <v>173</v>
      </c>
      <c r="D877" s="57" t="s">
        <v>174</v>
      </c>
      <c r="E877" s="57" t="s">
        <v>175</v>
      </c>
      <c r="F877" s="57">
        <f t="shared" si="16"/>
        <v>1</v>
      </c>
      <c r="G877" s="57">
        <v>26.465800000000002</v>
      </c>
      <c r="H877" s="57">
        <v>37.353999999999999</v>
      </c>
      <c r="I877" s="57">
        <v>26.885899999999999</v>
      </c>
      <c r="J877" s="33">
        <f t="shared" si="17"/>
        <v>10.888199999999998</v>
      </c>
      <c r="K877" s="33">
        <f t="shared" si="18"/>
        <v>0.42009999999999792</v>
      </c>
    </row>
    <row r="878" spans="1:11" x14ac:dyDescent="0.2">
      <c r="A878" s="70">
        <v>44676</v>
      </c>
      <c r="B878" s="57">
        <v>2382</v>
      </c>
      <c r="C878" s="57" t="s">
        <v>173</v>
      </c>
      <c r="D878" s="57" t="s">
        <v>177</v>
      </c>
      <c r="E878" s="57" t="s">
        <v>178</v>
      </c>
      <c r="F878" s="57">
        <f t="shared" si="16"/>
        <v>0</v>
      </c>
      <c r="G878" s="57">
        <v>26.409099999999999</v>
      </c>
      <c r="H878" s="57">
        <v>31.937999999999999</v>
      </c>
      <c r="I878" s="57">
        <v>29.277799999999999</v>
      </c>
      <c r="J878" s="33">
        <f t="shared" si="17"/>
        <v>5.5289000000000001</v>
      </c>
      <c r="K878" s="33">
        <f t="shared" si="18"/>
        <v>2.8687000000000005</v>
      </c>
    </row>
    <row r="879" spans="1:11" x14ac:dyDescent="0.2">
      <c r="A879" s="70">
        <v>44678</v>
      </c>
      <c r="B879" s="57">
        <v>2024</v>
      </c>
      <c r="C879" s="57" t="s">
        <v>173</v>
      </c>
      <c r="D879" s="57" t="s">
        <v>174</v>
      </c>
      <c r="E879" s="57" t="s">
        <v>175</v>
      </c>
      <c r="F879" s="57">
        <f t="shared" si="16"/>
        <v>1</v>
      </c>
      <c r="G879" s="57">
        <v>25.438300000000002</v>
      </c>
      <c r="H879" s="57">
        <v>26.844999999999999</v>
      </c>
      <c r="I879" s="57">
        <v>25.959199999999999</v>
      </c>
      <c r="J879" s="33">
        <f t="shared" si="17"/>
        <v>1.4066999999999972</v>
      </c>
      <c r="K879" s="33">
        <f t="shared" si="18"/>
        <v>0.52089999999999748</v>
      </c>
    </row>
    <row r="880" spans="1:11" x14ac:dyDescent="0.2">
      <c r="A880" s="70">
        <v>44678</v>
      </c>
      <c r="B880" s="57">
        <v>2021</v>
      </c>
      <c r="C880" s="57" t="s">
        <v>173</v>
      </c>
      <c r="D880" s="57" t="s">
        <v>174</v>
      </c>
      <c r="E880" s="57" t="s">
        <v>175</v>
      </c>
      <c r="F880" s="57">
        <f t="shared" si="16"/>
        <v>1</v>
      </c>
      <c r="G880" s="57">
        <v>26.329899999999999</v>
      </c>
      <c r="H880" s="57">
        <v>27.844999999999999</v>
      </c>
      <c r="I880" s="57">
        <v>27.111799999999999</v>
      </c>
      <c r="J880" s="33">
        <f t="shared" si="17"/>
        <v>1.5151000000000003</v>
      </c>
      <c r="K880" s="33">
        <f t="shared" si="18"/>
        <v>0.78190000000000026</v>
      </c>
    </row>
    <row r="881" spans="1:12" x14ac:dyDescent="0.2">
      <c r="A881" s="70">
        <v>44678</v>
      </c>
      <c r="B881" s="57">
        <v>2030</v>
      </c>
      <c r="C881" s="57" t="s">
        <v>173</v>
      </c>
      <c r="D881" s="57" t="s">
        <v>174</v>
      </c>
      <c r="E881" s="57" t="s">
        <v>178</v>
      </c>
      <c r="F881" s="57">
        <f t="shared" si="16"/>
        <v>1</v>
      </c>
      <c r="G881" s="57">
        <v>26.3523</v>
      </c>
      <c r="H881" s="57">
        <v>32.098999999999997</v>
      </c>
      <c r="I881" s="57">
        <v>24.569900000000001</v>
      </c>
      <c r="J881" s="33">
        <f t="shared" si="17"/>
        <v>5.746699999999997</v>
      </c>
      <c r="K881" s="33">
        <f t="shared" si="18"/>
        <v>-1.7823999999999991</v>
      </c>
    </row>
    <row r="882" spans="1:12" x14ac:dyDescent="0.2">
      <c r="A882" s="70">
        <v>44678</v>
      </c>
      <c r="B882" s="57">
        <v>2023</v>
      </c>
      <c r="C882" s="57" t="s">
        <v>173</v>
      </c>
      <c r="D882" s="57" t="s">
        <v>174</v>
      </c>
      <c r="E882" s="57" t="s">
        <v>178</v>
      </c>
      <c r="F882" s="57">
        <f t="shared" si="16"/>
        <v>1</v>
      </c>
      <c r="G882" s="57">
        <v>25.2559</v>
      </c>
      <c r="H882" s="57">
        <v>28.907</v>
      </c>
      <c r="I882" s="57">
        <v>27.1311</v>
      </c>
      <c r="J882" s="33">
        <f t="shared" si="17"/>
        <v>3.6510999999999996</v>
      </c>
      <c r="K882" s="33">
        <f t="shared" si="18"/>
        <v>1.8751999999999995</v>
      </c>
    </row>
    <row r="883" spans="1:12" x14ac:dyDescent="0.2">
      <c r="A883" s="70">
        <v>44678</v>
      </c>
      <c r="B883" s="57">
        <v>2013</v>
      </c>
      <c r="C883" s="57" t="s">
        <v>173</v>
      </c>
      <c r="D883" s="57" t="s">
        <v>177</v>
      </c>
      <c r="E883" s="57" t="s">
        <v>178</v>
      </c>
      <c r="F883" s="57">
        <f t="shared" si="16"/>
        <v>0</v>
      </c>
      <c r="G883" s="57">
        <v>26.036899999999999</v>
      </c>
      <c r="H883" s="57">
        <v>37.582000000000001</v>
      </c>
      <c r="I883" s="57">
        <v>31.182600000000001</v>
      </c>
      <c r="J883" s="33">
        <f t="shared" si="17"/>
        <v>11.545100000000001</v>
      </c>
      <c r="K883" s="33">
        <f t="shared" si="18"/>
        <v>5.1457000000000015</v>
      </c>
    </row>
    <row r="884" spans="1:12" x14ac:dyDescent="0.2">
      <c r="A884" s="70">
        <v>44678</v>
      </c>
      <c r="B884" s="57">
        <v>2091</v>
      </c>
      <c r="C884" s="57" t="s">
        <v>173</v>
      </c>
      <c r="D884" s="57" t="s">
        <v>177</v>
      </c>
      <c r="E884" s="57" t="s">
        <v>178</v>
      </c>
      <c r="F884" s="57">
        <f t="shared" si="16"/>
        <v>0</v>
      </c>
      <c r="G884" s="57">
        <v>26.229700000000001</v>
      </c>
      <c r="H884" s="57">
        <v>30.879000000000001</v>
      </c>
      <c r="I884" s="57">
        <v>27.926300000000001</v>
      </c>
      <c r="J884" s="33">
        <f t="shared" si="17"/>
        <v>4.6493000000000002</v>
      </c>
      <c r="K884" s="33">
        <f t="shared" si="18"/>
        <v>1.6966000000000001</v>
      </c>
    </row>
    <row r="885" spans="1:12" x14ac:dyDescent="0.2">
      <c r="A885" s="70">
        <v>44676</v>
      </c>
      <c r="B885" s="57">
        <v>2010</v>
      </c>
      <c r="C885" s="57" t="s">
        <v>173</v>
      </c>
      <c r="D885" s="57" t="s">
        <v>177</v>
      </c>
      <c r="E885" s="57" t="s">
        <v>178</v>
      </c>
      <c r="F885" s="57">
        <f t="shared" si="16"/>
        <v>0</v>
      </c>
      <c r="G885" s="57">
        <v>25.964400000000001</v>
      </c>
      <c r="H885" s="57">
        <v>32.984999999999999</v>
      </c>
      <c r="I885" s="57">
        <v>29.509</v>
      </c>
      <c r="J885" s="33">
        <f t="shared" si="17"/>
        <v>7.0205999999999982</v>
      </c>
      <c r="K885" s="33">
        <f t="shared" si="18"/>
        <v>3.5445999999999991</v>
      </c>
    </row>
    <row r="886" spans="1:12" x14ac:dyDescent="0.2">
      <c r="A886" s="70">
        <v>44676</v>
      </c>
      <c r="B886" s="57">
        <v>2365</v>
      </c>
      <c r="C886" s="57" t="s">
        <v>176</v>
      </c>
      <c r="D886" s="57" t="s">
        <v>177</v>
      </c>
      <c r="E886" s="57" t="s">
        <v>178</v>
      </c>
      <c r="F886" s="57">
        <f t="shared" ref="F886:F954" si="19">IF(D886="old",1,0)</f>
        <v>0</v>
      </c>
      <c r="G886" s="57">
        <v>25.659600000000001</v>
      </c>
      <c r="H886" s="57">
        <v>28.069299999999998</v>
      </c>
      <c r="I886" s="57">
        <v>26.776</v>
      </c>
      <c r="J886" s="33">
        <f t="shared" si="17"/>
        <v>2.4096999999999973</v>
      </c>
      <c r="K886" s="33">
        <f t="shared" si="18"/>
        <v>1.1163999999999987</v>
      </c>
    </row>
    <row r="887" spans="1:12" x14ac:dyDescent="0.2">
      <c r="A887" s="70">
        <v>44678</v>
      </c>
      <c r="B887" s="57">
        <v>2006</v>
      </c>
      <c r="C887" s="57" t="s">
        <v>173</v>
      </c>
      <c r="D887" s="57" t="s">
        <v>177</v>
      </c>
      <c r="E887" s="57" t="s">
        <v>178</v>
      </c>
      <c r="F887" s="57">
        <f t="shared" si="19"/>
        <v>0</v>
      </c>
      <c r="G887" s="57">
        <v>26.0014</v>
      </c>
      <c r="H887" s="57">
        <v>30.641999999999999</v>
      </c>
      <c r="I887" s="57">
        <v>28.150200000000002</v>
      </c>
      <c r="J887" s="33">
        <f t="shared" si="17"/>
        <v>4.6405999999999992</v>
      </c>
      <c r="K887" s="33">
        <f t="shared" si="18"/>
        <v>2.1488000000000014</v>
      </c>
    </row>
    <row r="888" spans="1:12" x14ac:dyDescent="0.2">
      <c r="A888" s="70">
        <v>44678</v>
      </c>
      <c r="B888" s="57">
        <v>2030</v>
      </c>
      <c r="C888" s="57" t="s">
        <v>173</v>
      </c>
      <c r="D888" s="57" t="s">
        <v>174</v>
      </c>
      <c r="E888" s="57" t="s">
        <v>175</v>
      </c>
      <c r="F888" s="57">
        <f t="shared" si="19"/>
        <v>1</v>
      </c>
      <c r="G888" s="57">
        <v>6.2784000000000004</v>
      </c>
      <c r="H888" s="57">
        <v>7.6020000000000003</v>
      </c>
      <c r="I888" s="57">
        <v>7.0679999999999996</v>
      </c>
      <c r="J888" s="33">
        <f t="shared" si="17"/>
        <v>1.3235999999999999</v>
      </c>
      <c r="K888" s="33">
        <f t="shared" si="18"/>
        <v>0.78959999999999919</v>
      </c>
    </row>
    <row r="889" spans="1:12" x14ac:dyDescent="0.2">
      <c r="A889" s="70">
        <v>44684</v>
      </c>
      <c r="B889" s="57" t="s">
        <v>181</v>
      </c>
      <c r="C889" s="57" t="s">
        <v>176</v>
      </c>
      <c r="D889" s="57" t="s">
        <v>177</v>
      </c>
      <c r="E889" s="57" t="s">
        <v>175</v>
      </c>
      <c r="F889" s="57">
        <f t="shared" si="19"/>
        <v>0</v>
      </c>
      <c r="G889" s="57">
        <v>6.3003</v>
      </c>
      <c r="H889" s="57">
        <v>8.3887</v>
      </c>
      <c r="I889" s="57">
        <v>6.7378999999999998</v>
      </c>
      <c r="J889" s="33">
        <f t="shared" si="17"/>
        <v>2.0884</v>
      </c>
      <c r="K889" s="33">
        <f t="shared" si="18"/>
        <v>0.43759999999999977</v>
      </c>
      <c r="L889" s="57">
        <v>2.1</v>
      </c>
    </row>
    <row r="890" spans="1:12" x14ac:dyDescent="0.2">
      <c r="A890" s="70">
        <v>44678</v>
      </c>
      <c r="B890" s="57">
        <v>2093</v>
      </c>
      <c r="C890" s="57" t="s">
        <v>173</v>
      </c>
      <c r="D890" s="57" t="s">
        <v>174</v>
      </c>
      <c r="E890" s="57" t="s">
        <v>175</v>
      </c>
      <c r="F890" s="57">
        <f t="shared" si="19"/>
        <v>1</v>
      </c>
      <c r="G890" s="57">
        <v>6.3589000000000002</v>
      </c>
      <c r="H890" s="57">
        <v>7.3810000000000002</v>
      </c>
      <c r="I890" s="57">
        <v>6.915</v>
      </c>
      <c r="J890" s="33">
        <f t="shared" si="17"/>
        <v>1.0221</v>
      </c>
      <c r="K890" s="33">
        <f t="shared" si="18"/>
        <v>0.55609999999999982</v>
      </c>
    </row>
    <row r="891" spans="1:12" x14ac:dyDescent="0.2">
      <c r="A891" s="70">
        <v>44684</v>
      </c>
      <c r="B891" s="57" t="s">
        <v>181</v>
      </c>
      <c r="C891" s="57" t="s">
        <v>176</v>
      </c>
      <c r="D891" s="57" t="s">
        <v>177</v>
      </c>
      <c r="E891" s="57" t="s">
        <v>175</v>
      </c>
      <c r="F891" s="57">
        <f t="shared" si="19"/>
        <v>0</v>
      </c>
      <c r="G891" s="57">
        <v>6.2816000000000001</v>
      </c>
      <c r="H891" s="57">
        <v>8.8093000000000004</v>
      </c>
      <c r="I891" s="57">
        <v>6.8613999999999997</v>
      </c>
      <c r="J891" s="33">
        <f t="shared" si="17"/>
        <v>2.5277000000000003</v>
      </c>
      <c r="K891" s="33">
        <f t="shared" si="18"/>
        <v>0.57979999999999965</v>
      </c>
      <c r="L891" s="57">
        <v>5</v>
      </c>
    </row>
    <row r="892" spans="1:12" x14ac:dyDescent="0.2">
      <c r="A892" s="70">
        <v>44678</v>
      </c>
      <c r="B892" s="57">
        <v>2089</v>
      </c>
      <c r="C892" s="57" t="s">
        <v>173</v>
      </c>
      <c r="D892" s="57" t="s">
        <v>174</v>
      </c>
      <c r="E892" s="57" t="s">
        <v>175</v>
      </c>
      <c r="F892" s="57">
        <f t="shared" si="19"/>
        <v>1</v>
      </c>
      <c r="G892" s="57">
        <v>7.3334999999999999</v>
      </c>
      <c r="H892" s="57">
        <v>8.3160000000000007</v>
      </c>
      <c r="I892" s="57">
        <v>7.9009999999999998</v>
      </c>
      <c r="J892" s="33">
        <f t="shared" si="17"/>
        <v>0.98250000000000082</v>
      </c>
      <c r="K892" s="33">
        <f t="shared" si="18"/>
        <v>0.56749999999999989</v>
      </c>
    </row>
    <row r="893" spans="1:12" x14ac:dyDescent="0.2">
      <c r="A893" s="70">
        <v>44678</v>
      </c>
      <c r="B893" s="57">
        <v>2025</v>
      </c>
      <c r="C893" s="57" t="s">
        <v>173</v>
      </c>
      <c r="D893" s="57" t="s">
        <v>177</v>
      </c>
      <c r="E893" s="57" t="s">
        <v>175</v>
      </c>
      <c r="F893" s="57">
        <f t="shared" si="19"/>
        <v>0</v>
      </c>
      <c r="G893" s="57">
        <v>7.431</v>
      </c>
      <c r="H893" s="57">
        <v>7.85</v>
      </c>
      <c r="I893" s="57">
        <v>7.6680000000000001</v>
      </c>
      <c r="J893" s="33">
        <f t="shared" si="17"/>
        <v>0.41899999999999959</v>
      </c>
      <c r="K893" s="33">
        <f t="shared" si="18"/>
        <v>0.2370000000000001</v>
      </c>
    </row>
    <row r="894" spans="1:12" x14ac:dyDescent="0.2">
      <c r="A894" s="70">
        <v>44684</v>
      </c>
      <c r="B894" s="57" t="s">
        <v>142</v>
      </c>
      <c r="C894" s="57" t="s">
        <v>176</v>
      </c>
      <c r="D894" s="57" t="s">
        <v>177</v>
      </c>
      <c r="E894" s="57" t="s">
        <v>178</v>
      </c>
      <c r="F894" s="57">
        <f t="shared" si="19"/>
        <v>0</v>
      </c>
      <c r="G894" s="57">
        <v>7.3242000000000003</v>
      </c>
      <c r="H894" s="57">
        <v>9.7510999999999992</v>
      </c>
      <c r="I894" s="57">
        <v>8.3043999999999993</v>
      </c>
      <c r="J894" s="33">
        <f t="shared" si="17"/>
        <v>2.4268999999999989</v>
      </c>
      <c r="K894" s="33">
        <f t="shared" si="18"/>
        <v>0.98019999999999907</v>
      </c>
      <c r="L894" s="57">
        <v>1</v>
      </c>
    </row>
    <row r="895" spans="1:12" x14ac:dyDescent="0.2">
      <c r="A895" s="70">
        <v>44678</v>
      </c>
      <c r="B895" s="57">
        <v>2023</v>
      </c>
      <c r="C895" s="57" t="s">
        <v>173</v>
      </c>
      <c r="D895" s="57" t="s">
        <v>177</v>
      </c>
      <c r="E895" s="57" t="s">
        <v>175</v>
      </c>
      <c r="F895" s="57">
        <f t="shared" si="19"/>
        <v>0</v>
      </c>
      <c r="G895" s="57">
        <v>7.4606000000000003</v>
      </c>
      <c r="H895" s="57">
        <v>7.6870000000000003</v>
      </c>
      <c r="I895" s="57">
        <v>7.6234999999999999</v>
      </c>
      <c r="J895" s="33">
        <f t="shared" si="17"/>
        <v>0.22639999999999993</v>
      </c>
      <c r="K895" s="33">
        <f t="shared" si="18"/>
        <v>0.1628999999999996</v>
      </c>
    </row>
    <row r="896" spans="1:12" x14ac:dyDescent="0.2">
      <c r="A896" s="70">
        <v>44678</v>
      </c>
      <c r="B896" s="57">
        <v>2013</v>
      </c>
      <c r="C896" s="57" t="s">
        <v>173</v>
      </c>
      <c r="D896" s="57" t="s">
        <v>174</v>
      </c>
      <c r="E896" s="57" t="s">
        <v>175</v>
      </c>
      <c r="F896" s="57">
        <f t="shared" si="19"/>
        <v>1</v>
      </c>
      <c r="G896" s="57">
        <v>7.2988</v>
      </c>
      <c r="H896" s="57">
        <v>10.936</v>
      </c>
      <c r="I896" s="57">
        <v>9.2089999999999996</v>
      </c>
      <c r="J896" s="33">
        <f t="shared" si="17"/>
        <v>3.6372</v>
      </c>
      <c r="K896" s="33">
        <f t="shared" si="18"/>
        <v>1.9101999999999997</v>
      </c>
    </row>
    <row r="897" spans="1:12" x14ac:dyDescent="0.2">
      <c r="A897" s="70">
        <v>44684</v>
      </c>
      <c r="B897" s="57" t="s">
        <v>142</v>
      </c>
      <c r="C897" s="57" t="s">
        <v>176</v>
      </c>
      <c r="D897" s="57" t="s">
        <v>177</v>
      </c>
      <c r="E897" s="57" t="s">
        <v>178</v>
      </c>
      <c r="F897" s="57">
        <f t="shared" si="19"/>
        <v>0</v>
      </c>
      <c r="G897" s="57">
        <v>7.3544999999999998</v>
      </c>
      <c r="H897" s="57">
        <v>10.0648</v>
      </c>
      <c r="I897" s="57">
        <v>8.3641000000000005</v>
      </c>
      <c r="J897" s="33">
        <f t="shared" si="17"/>
        <v>2.7103000000000002</v>
      </c>
      <c r="K897" s="33">
        <f t="shared" si="18"/>
        <v>1.0096000000000007</v>
      </c>
      <c r="L897" s="57">
        <v>5</v>
      </c>
    </row>
    <row r="898" spans="1:12" x14ac:dyDescent="0.2">
      <c r="A898" s="70">
        <v>44684</v>
      </c>
      <c r="B898" s="57" t="s">
        <v>142</v>
      </c>
      <c r="C898" s="57" t="s">
        <v>176</v>
      </c>
      <c r="D898" s="57" t="s">
        <v>177</v>
      </c>
      <c r="E898" s="57" t="s">
        <v>178</v>
      </c>
      <c r="F898" s="57">
        <f t="shared" si="19"/>
        <v>0</v>
      </c>
      <c r="G898" s="57">
        <v>6.2503000000000002</v>
      </c>
      <c r="H898" s="57">
        <v>8.2272999999999996</v>
      </c>
      <c r="I898" s="57">
        <v>6.9794</v>
      </c>
      <c r="J898" s="33">
        <f t="shared" si="17"/>
        <v>1.9769999999999994</v>
      </c>
      <c r="K898" s="33">
        <f t="shared" si="18"/>
        <v>0.72909999999999986</v>
      </c>
      <c r="L898" s="57">
        <v>4</v>
      </c>
    </row>
    <row r="899" spans="1:12" x14ac:dyDescent="0.2">
      <c r="A899" s="70">
        <v>44684</v>
      </c>
      <c r="B899" s="57" t="s">
        <v>181</v>
      </c>
      <c r="C899" s="57" t="s">
        <v>176</v>
      </c>
      <c r="D899" s="57" t="s">
        <v>177</v>
      </c>
      <c r="E899" s="57" t="s">
        <v>175</v>
      </c>
      <c r="F899" s="57">
        <f t="shared" si="19"/>
        <v>0</v>
      </c>
      <c r="G899" s="57">
        <v>7.3343999999999996</v>
      </c>
      <c r="H899" s="57">
        <v>9.3511000000000006</v>
      </c>
      <c r="I899" s="57">
        <v>7.8648999999999996</v>
      </c>
      <c r="J899" s="33">
        <f t="shared" si="17"/>
        <v>2.016700000000001</v>
      </c>
      <c r="K899" s="33">
        <f t="shared" si="18"/>
        <v>0.53049999999999997</v>
      </c>
      <c r="L899" s="57">
        <v>1</v>
      </c>
    </row>
    <row r="900" spans="1:12" x14ac:dyDescent="0.2">
      <c r="A900" s="70">
        <v>44684</v>
      </c>
      <c r="B900" s="57" t="s">
        <v>182</v>
      </c>
      <c r="C900" s="57" t="s">
        <v>176</v>
      </c>
      <c r="D900" s="57" t="s">
        <v>177</v>
      </c>
      <c r="E900" s="57" t="s">
        <v>175</v>
      </c>
      <c r="F900" s="57">
        <f t="shared" si="19"/>
        <v>0</v>
      </c>
      <c r="G900" s="57">
        <v>7.4013999999999998</v>
      </c>
      <c r="H900" s="57">
        <v>8.3818000000000001</v>
      </c>
      <c r="I900" s="57">
        <v>7.7324999999999999</v>
      </c>
      <c r="J900" s="33">
        <f t="shared" si="17"/>
        <v>0.98040000000000038</v>
      </c>
      <c r="K900" s="33">
        <f t="shared" si="18"/>
        <v>0.33110000000000017</v>
      </c>
    </row>
    <row r="901" spans="1:12" x14ac:dyDescent="0.2">
      <c r="A901" s="70">
        <v>44678</v>
      </c>
      <c r="B901" s="57">
        <v>2093</v>
      </c>
      <c r="C901" s="57" t="s">
        <v>173</v>
      </c>
      <c r="D901" s="57" t="s">
        <v>177</v>
      </c>
      <c r="E901" s="57" t="s">
        <v>175</v>
      </c>
      <c r="F901" s="57">
        <f t="shared" si="19"/>
        <v>0</v>
      </c>
      <c r="G901" s="57">
        <v>7.5213999999999999</v>
      </c>
      <c r="H901" s="57">
        <v>7.9489999999999998</v>
      </c>
      <c r="I901" s="57">
        <v>7.7308000000000003</v>
      </c>
      <c r="J901" s="33">
        <f t="shared" si="17"/>
        <v>0.42759999999999998</v>
      </c>
      <c r="K901" s="33">
        <f t="shared" si="18"/>
        <v>0.20940000000000047</v>
      </c>
    </row>
    <row r="902" spans="1:12" x14ac:dyDescent="0.2">
      <c r="A902" s="70">
        <v>44678</v>
      </c>
      <c r="B902" s="57">
        <v>2089</v>
      </c>
      <c r="C902" s="57" t="s">
        <v>173</v>
      </c>
      <c r="D902" s="57" t="s">
        <v>177</v>
      </c>
      <c r="E902" s="57" t="s">
        <v>175</v>
      </c>
      <c r="F902" s="57">
        <f t="shared" si="19"/>
        <v>0</v>
      </c>
      <c r="G902" s="57">
        <v>7.4013</v>
      </c>
      <c r="H902" s="57">
        <v>7.5149999999999997</v>
      </c>
      <c r="I902" s="57">
        <v>7.4470000000000001</v>
      </c>
      <c r="J902" s="33">
        <f t="shared" si="17"/>
        <v>0.11369999999999969</v>
      </c>
      <c r="K902" s="33">
        <f t="shared" si="18"/>
        <v>4.5700000000000074E-2</v>
      </c>
    </row>
    <row r="903" spans="1:12" x14ac:dyDescent="0.2">
      <c r="A903" s="70">
        <v>44684</v>
      </c>
      <c r="B903" s="57" t="s">
        <v>182</v>
      </c>
      <c r="C903" s="57" t="s">
        <v>176</v>
      </c>
      <c r="D903" s="57" t="s">
        <v>177</v>
      </c>
      <c r="E903" s="57" t="s">
        <v>175</v>
      </c>
      <c r="F903" s="57">
        <f t="shared" si="19"/>
        <v>0</v>
      </c>
      <c r="G903" s="57">
        <v>6.2866</v>
      </c>
      <c r="H903" s="57">
        <v>7.1931000000000003</v>
      </c>
      <c r="I903" s="57">
        <v>6.5667999999999997</v>
      </c>
      <c r="J903" s="33">
        <f t="shared" si="17"/>
        <v>0.90650000000000031</v>
      </c>
      <c r="K903" s="33">
        <f t="shared" si="18"/>
        <v>0.28019999999999978</v>
      </c>
      <c r="L903" s="57">
        <v>4</v>
      </c>
    </row>
    <row r="904" spans="1:12" x14ac:dyDescent="0.2">
      <c r="A904" s="70">
        <v>44678</v>
      </c>
      <c r="B904" s="57">
        <v>2030</v>
      </c>
      <c r="C904" s="57" t="s">
        <v>173</v>
      </c>
      <c r="D904" s="57" t="s">
        <v>177</v>
      </c>
      <c r="E904" s="57" t="s">
        <v>175</v>
      </c>
      <c r="F904" s="57">
        <f t="shared" si="19"/>
        <v>0</v>
      </c>
      <c r="G904" s="57">
        <v>7.3526999999999996</v>
      </c>
      <c r="H904" s="57">
        <v>8.1790000000000003</v>
      </c>
      <c r="I904" s="57">
        <v>7.78</v>
      </c>
      <c r="J904" s="33">
        <f t="shared" si="17"/>
        <v>0.8263000000000007</v>
      </c>
      <c r="K904" s="33">
        <f t="shared" si="18"/>
        <v>0.42730000000000068</v>
      </c>
    </row>
    <row r="905" spans="1:12" x14ac:dyDescent="0.2">
      <c r="A905" s="70">
        <v>44678</v>
      </c>
      <c r="B905" s="57">
        <v>2013</v>
      </c>
      <c r="C905" s="57" t="s">
        <v>173</v>
      </c>
      <c r="D905" s="57" t="s">
        <v>177</v>
      </c>
      <c r="E905" s="57" t="s">
        <v>175</v>
      </c>
      <c r="F905" s="57">
        <f t="shared" si="19"/>
        <v>0</v>
      </c>
      <c r="G905" s="57">
        <v>6.3433000000000002</v>
      </c>
      <c r="H905" s="57">
        <v>8.5410000000000004</v>
      </c>
      <c r="I905" s="57">
        <v>7.3452000000000002</v>
      </c>
      <c r="J905" s="33">
        <f t="shared" si="17"/>
        <v>2.1977000000000002</v>
      </c>
      <c r="K905" s="33">
        <f t="shared" si="18"/>
        <v>1.0019</v>
      </c>
    </row>
    <row r="906" spans="1:12" x14ac:dyDescent="0.2">
      <c r="A906" s="70">
        <v>44684</v>
      </c>
      <c r="B906" s="57" t="s">
        <v>182</v>
      </c>
      <c r="C906" s="57" t="s">
        <v>176</v>
      </c>
      <c r="D906" s="57" t="s">
        <v>177</v>
      </c>
      <c r="E906" s="57" t="s">
        <v>175</v>
      </c>
      <c r="F906" s="57">
        <f t="shared" si="19"/>
        <v>0</v>
      </c>
      <c r="G906" s="57">
        <v>6.3186999999999998</v>
      </c>
      <c r="H906" s="57">
        <v>7.3109000000000002</v>
      </c>
      <c r="I906" s="57">
        <v>6.6313000000000004</v>
      </c>
      <c r="J906" s="33">
        <f t="shared" si="17"/>
        <v>0.99220000000000041</v>
      </c>
      <c r="K906" s="33">
        <f t="shared" si="18"/>
        <v>0.31260000000000066</v>
      </c>
      <c r="L906" s="57">
        <v>3</v>
      </c>
    </row>
    <row r="907" spans="1:12" x14ac:dyDescent="0.2">
      <c r="A907" s="70">
        <v>44684</v>
      </c>
      <c r="B907" s="57" t="s">
        <v>181</v>
      </c>
      <c r="C907" s="57" t="s">
        <v>176</v>
      </c>
      <c r="D907" s="57" t="s">
        <v>177</v>
      </c>
      <c r="E907" s="57" t="s">
        <v>175</v>
      </c>
      <c r="F907" s="57">
        <f t="shared" si="19"/>
        <v>0</v>
      </c>
      <c r="G907" s="57">
        <v>7.3307000000000002</v>
      </c>
      <c r="H907" s="57">
        <v>9.2635000000000005</v>
      </c>
      <c r="I907" s="57">
        <v>7.6795</v>
      </c>
      <c r="J907" s="33">
        <f t="shared" si="17"/>
        <v>1.9328000000000003</v>
      </c>
      <c r="K907" s="33">
        <f t="shared" si="18"/>
        <v>0.34879999999999978</v>
      </c>
      <c r="L907" s="57">
        <v>5</v>
      </c>
    </row>
    <row r="908" spans="1:12" x14ac:dyDescent="0.2">
      <c r="A908" s="70">
        <v>44678</v>
      </c>
      <c r="B908" s="57">
        <v>2005</v>
      </c>
      <c r="C908" s="57" t="s">
        <v>173</v>
      </c>
      <c r="D908" s="57" t="s">
        <v>177</v>
      </c>
      <c r="E908" s="57" t="s">
        <v>175</v>
      </c>
      <c r="F908" s="57">
        <f t="shared" si="19"/>
        <v>0</v>
      </c>
      <c r="G908" s="57">
        <v>7.4264999999999999</v>
      </c>
      <c r="H908" s="57">
        <v>8.1950000000000003</v>
      </c>
      <c r="I908" s="57">
        <v>7.8220000000000001</v>
      </c>
      <c r="J908" s="33">
        <f t="shared" si="17"/>
        <v>0.76850000000000041</v>
      </c>
      <c r="K908" s="33">
        <f t="shared" si="18"/>
        <v>0.39550000000000018</v>
      </c>
    </row>
    <row r="909" spans="1:12" x14ac:dyDescent="0.2">
      <c r="A909" s="70">
        <v>44684</v>
      </c>
      <c r="B909" s="57" t="s">
        <v>142</v>
      </c>
      <c r="C909" s="57" t="s">
        <v>176</v>
      </c>
      <c r="D909" s="57" t="s">
        <v>177</v>
      </c>
      <c r="E909" s="57" t="s">
        <v>178</v>
      </c>
      <c r="F909" s="57">
        <f t="shared" si="19"/>
        <v>0</v>
      </c>
      <c r="G909" s="57">
        <v>7.3263999999999996</v>
      </c>
      <c r="H909" s="57">
        <v>11.4276</v>
      </c>
      <c r="I909" s="57">
        <v>8.6402999999999999</v>
      </c>
      <c r="J909" s="33">
        <f t="shared" si="17"/>
        <v>4.1012000000000004</v>
      </c>
      <c r="K909" s="33">
        <f t="shared" si="18"/>
        <v>1.3139000000000003</v>
      </c>
      <c r="L909" s="57">
        <v>3</v>
      </c>
    </row>
    <row r="910" spans="1:12" x14ac:dyDescent="0.2">
      <c r="A910" s="70">
        <v>44704</v>
      </c>
      <c r="B910" s="57">
        <v>2352</v>
      </c>
      <c r="C910" s="57" t="s">
        <v>173</v>
      </c>
      <c r="D910" s="57" t="s">
        <v>174</v>
      </c>
      <c r="E910" s="57" t="s">
        <v>178</v>
      </c>
      <c r="F910" s="57">
        <f t="shared" si="19"/>
        <v>1</v>
      </c>
      <c r="G910" s="57">
        <v>26.026399999999999</v>
      </c>
      <c r="H910" s="57">
        <v>27.315100000000001</v>
      </c>
      <c r="I910" s="57">
        <v>26.726600000000001</v>
      </c>
      <c r="J910" s="33">
        <f t="shared" si="17"/>
        <v>1.2887000000000022</v>
      </c>
      <c r="K910" s="33">
        <f t="shared" si="18"/>
        <v>0.70020000000000238</v>
      </c>
    </row>
    <row r="911" spans="1:12" x14ac:dyDescent="0.2">
      <c r="A911" s="70">
        <v>44706</v>
      </c>
      <c r="B911" s="57">
        <v>2006</v>
      </c>
      <c r="C911" s="57" t="s">
        <v>176</v>
      </c>
      <c r="D911" s="57" t="s">
        <v>177</v>
      </c>
      <c r="E911" s="57" t="s">
        <v>175</v>
      </c>
      <c r="F911" s="57">
        <f t="shared" si="19"/>
        <v>0</v>
      </c>
      <c r="G911" s="57">
        <v>15.1676</v>
      </c>
      <c r="H911" s="57">
        <v>15.6503</v>
      </c>
      <c r="I911" s="57">
        <v>15.3916</v>
      </c>
      <c r="J911" s="33">
        <f t="shared" si="17"/>
        <v>0.48269999999999946</v>
      </c>
      <c r="K911" s="33">
        <f t="shared" si="18"/>
        <v>0.2240000000000002</v>
      </c>
    </row>
    <row r="912" spans="1:12" x14ac:dyDescent="0.2">
      <c r="A912" s="70">
        <v>44704</v>
      </c>
      <c r="B912" s="57">
        <v>2331</v>
      </c>
      <c r="C912" s="57" t="s">
        <v>173</v>
      </c>
      <c r="D912" s="57" t="s">
        <v>177</v>
      </c>
      <c r="E912" s="57" t="s">
        <v>178</v>
      </c>
      <c r="F912" s="57">
        <f t="shared" si="19"/>
        <v>0</v>
      </c>
      <c r="G912" s="57">
        <v>25.8047</v>
      </c>
      <c r="H912" s="57">
        <v>26.211300000000001</v>
      </c>
      <c r="I912" s="57">
        <v>26.005299999999998</v>
      </c>
      <c r="J912" s="33">
        <f t="shared" si="17"/>
        <v>0.40660000000000096</v>
      </c>
      <c r="K912" s="33">
        <f t="shared" si="18"/>
        <v>0.20059999999999789</v>
      </c>
    </row>
    <row r="913" spans="1:11" x14ac:dyDescent="0.2">
      <c r="A913" s="70">
        <v>44704</v>
      </c>
      <c r="B913" s="57">
        <v>2375</v>
      </c>
      <c r="C913" s="57" t="s">
        <v>173</v>
      </c>
      <c r="D913" s="57" t="s">
        <v>177</v>
      </c>
      <c r="E913" s="57" t="s">
        <v>178</v>
      </c>
      <c r="F913" s="57">
        <f t="shared" si="19"/>
        <v>0</v>
      </c>
      <c r="G913" s="57">
        <v>26.371300000000002</v>
      </c>
      <c r="H913" s="57">
        <v>28.008500000000002</v>
      </c>
      <c r="I913" s="57">
        <v>27.1952</v>
      </c>
      <c r="J913" s="33">
        <f t="shared" si="17"/>
        <v>1.6372</v>
      </c>
      <c r="K913" s="33">
        <f t="shared" si="18"/>
        <v>0.8238999999999983</v>
      </c>
    </row>
    <row r="914" spans="1:11" x14ac:dyDescent="0.2">
      <c r="A914" s="70">
        <v>44704</v>
      </c>
      <c r="B914" s="57">
        <v>2378</v>
      </c>
      <c r="C914" s="57" t="s">
        <v>173</v>
      </c>
      <c r="D914" s="57" t="s">
        <v>174</v>
      </c>
      <c r="E914" s="57" t="s">
        <v>175</v>
      </c>
      <c r="F914" s="57">
        <f t="shared" si="19"/>
        <v>1</v>
      </c>
      <c r="G914" s="57">
        <v>25.309000000000001</v>
      </c>
      <c r="H914" s="57">
        <v>25.520099999999999</v>
      </c>
      <c r="I914" s="57">
        <v>25.398099999999999</v>
      </c>
      <c r="J914" s="33">
        <f t="shared" si="17"/>
        <v>0.21109999999999829</v>
      </c>
      <c r="K914" s="33">
        <f t="shared" si="18"/>
        <v>8.9099999999998403E-2</v>
      </c>
    </row>
    <row r="915" spans="1:11" x14ac:dyDescent="0.2">
      <c r="A915" s="70">
        <v>44704</v>
      </c>
      <c r="B915" s="57">
        <v>2347</v>
      </c>
      <c r="C915" s="57" t="s">
        <v>173</v>
      </c>
      <c r="D915" s="57" t="s">
        <v>177</v>
      </c>
      <c r="E915" s="57" t="s">
        <v>178</v>
      </c>
      <c r="F915" s="57">
        <f t="shared" si="19"/>
        <v>0</v>
      </c>
      <c r="G915" s="57">
        <v>25.7272</v>
      </c>
      <c r="H915" s="57">
        <v>27.340599999999998</v>
      </c>
      <c r="I915" s="57">
        <v>26.4937</v>
      </c>
      <c r="J915" s="33">
        <f t="shared" si="17"/>
        <v>1.6133999999999986</v>
      </c>
      <c r="K915" s="33">
        <f t="shared" si="18"/>
        <v>0.76650000000000063</v>
      </c>
    </row>
    <row r="916" spans="1:11" x14ac:dyDescent="0.2">
      <c r="A916" s="70">
        <v>44704</v>
      </c>
      <c r="B916" s="57">
        <v>2378</v>
      </c>
      <c r="C916" s="57" t="s">
        <v>173</v>
      </c>
      <c r="D916" s="57" t="s">
        <v>177</v>
      </c>
      <c r="E916" s="57" t="s">
        <v>178</v>
      </c>
      <c r="F916" s="57">
        <f t="shared" si="19"/>
        <v>0</v>
      </c>
      <c r="G916" s="57">
        <v>25.555099999999999</v>
      </c>
      <c r="H916" s="57">
        <v>26.821300000000001</v>
      </c>
      <c r="I916" s="57">
        <v>26.1205</v>
      </c>
      <c r="J916" s="33">
        <f t="shared" si="17"/>
        <v>1.2662000000000013</v>
      </c>
      <c r="K916" s="33">
        <f t="shared" si="18"/>
        <v>0.56540000000000035</v>
      </c>
    </row>
    <row r="917" spans="1:11" x14ac:dyDescent="0.2">
      <c r="A917" s="70">
        <v>44704</v>
      </c>
      <c r="B917" s="57">
        <v>2070</v>
      </c>
      <c r="C917" s="57" t="s">
        <v>173</v>
      </c>
      <c r="D917" s="57" t="s">
        <v>177</v>
      </c>
      <c r="E917" s="57" t="s">
        <v>178</v>
      </c>
      <c r="F917" s="57">
        <f t="shared" si="19"/>
        <v>0</v>
      </c>
      <c r="G917" s="57">
        <v>25.910499999999999</v>
      </c>
      <c r="H917" s="57">
        <v>26.497</v>
      </c>
      <c r="I917" s="57">
        <v>26.363600000000002</v>
      </c>
      <c r="J917" s="33">
        <f t="shared" si="17"/>
        <v>0.58650000000000091</v>
      </c>
      <c r="K917" s="33">
        <f t="shared" si="18"/>
        <v>0.45310000000000272</v>
      </c>
    </row>
    <row r="918" spans="1:11" x14ac:dyDescent="0.2">
      <c r="A918" s="70">
        <v>44704</v>
      </c>
      <c r="B918" s="57">
        <v>2384</v>
      </c>
      <c r="C918" s="57" t="s">
        <v>173</v>
      </c>
      <c r="D918" s="57" t="s">
        <v>177</v>
      </c>
      <c r="E918" s="57" t="s">
        <v>178</v>
      </c>
      <c r="F918" s="57">
        <f t="shared" si="19"/>
        <v>0</v>
      </c>
      <c r="G918" s="57">
        <v>25.339200000000002</v>
      </c>
      <c r="H918" s="57">
        <v>26.5472</v>
      </c>
      <c r="I918" s="57">
        <v>25.928000000000001</v>
      </c>
      <c r="J918" s="33">
        <f t="shared" si="17"/>
        <v>1.2079999999999984</v>
      </c>
      <c r="K918" s="33">
        <f t="shared" si="18"/>
        <v>0.5887999999999991</v>
      </c>
    </row>
    <row r="919" spans="1:11" x14ac:dyDescent="0.2">
      <c r="A919" s="70">
        <v>44706</v>
      </c>
      <c r="B919" s="57">
        <v>2005</v>
      </c>
      <c r="C919" s="57" t="s">
        <v>176</v>
      </c>
      <c r="D919" s="57" t="s">
        <v>177</v>
      </c>
      <c r="E919" s="57" t="s">
        <v>178</v>
      </c>
      <c r="F919" s="57">
        <f t="shared" si="19"/>
        <v>0</v>
      </c>
      <c r="G919" s="57">
        <v>25.351099999999999</v>
      </c>
      <c r="H919" s="57">
        <v>30.047000000000001</v>
      </c>
      <c r="I919" s="57">
        <v>27.622900000000001</v>
      </c>
      <c r="J919" s="33">
        <f t="shared" si="17"/>
        <v>4.6959000000000017</v>
      </c>
      <c r="K919" s="33">
        <f t="shared" si="18"/>
        <v>2.2718000000000025</v>
      </c>
    </row>
    <row r="920" spans="1:11" x14ac:dyDescent="0.2">
      <c r="A920" s="70">
        <v>44704</v>
      </c>
      <c r="B920" s="57">
        <v>2380</v>
      </c>
      <c r="C920" s="57" t="s">
        <v>173</v>
      </c>
      <c r="D920" s="57" t="s">
        <v>177</v>
      </c>
      <c r="E920" s="57" t="s">
        <v>175</v>
      </c>
      <c r="F920" s="57">
        <f t="shared" si="19"/>
        <v>0</v>
      </c>
      <c r="G920" s="57">
        <v>26.043700000000001</v>
      </c>
      <c r="H920" s="57">
        <v>26.405100000000001</v>
      </c>
      <c r="I920" s="57">
        <v>26.1935</v>
      </c>
      <c r="J920" s="33">
        <f t="shared" si="17"/>
        <v>0.36139999999999972</v>
      </c>
      <c r="K920" s="33">
        <f t="shared" si="18"/>
        <v>0.14979999999999905</v>
      </c>
    </row>
    <row r="921" spans="1:11" x14ac:dyDescent="0.2">
      <c r="A921" s="70">
        <v>44704</v>
      </c>
      <c r="B921" s="57">
        <v>2379</v>
      </c>
      <c r="C921" s="57" t="s">
        <v>173</v>
      </c>
      <c r="D921" s="57" t="s">
        <v>177</v>
      </c>
      <c r="E921" s="57" t="s">
        <v>178</v>
      </c>
      <c r="F921" s="57">
        <f t="shared" si="19"/>
        <v>0</v>
      </c>
      <c r="G921" s="57">
        <v>25.1554</v>
      </c>
      <c r="H921" s="57">
        <v>26.7485</v>
      </c>
      <c r="I921" s="57">
        <v>25.743300000000001</v>
      </c>
      <c r="J921" s="33">
        <f t="shared" si="17"/>
        <v>1.5930999999999997</v>
      </c>
      <c r="K921" s="33">
        <f t="shared" si="18"/>
        <v>0.5879000000000012</v>
      </c>
    </row>
    <row r="922" spans="1:11" x14ac:dyDescent="0.2">
      <c r="A922" s="70">
        <v>44704</v>
      </c>
      <c r="B922" s="57">
        <v>2387</v>
      </c>
      <c r="C922" s="57" t="s">
        <v>173</v>
      </c>
      <c r="D922" s="57" t="s">
        <v>177</v>
      </c>
      <c r="E922" s="57" t="s">
        <v>178</v>
      </c>
      <c r="F922" s="57">
        <f t="shared" si="19"/>
        <v>0</v>
      </c>
      <c r="G922" s="57">
        <v>26.170200000000001</v>
      </c>
      <c r="H922" s="57">
        <v>28.0671</v>
      </c>
      <c r="I922" s="57">
        <v>27.078299999999999</v>
      </c>
      <c r="J922" s="33">
        <f t="shared" si="17"/>
        <v>1.8968999999999987</v>
      </c>
      <c r="K922" s="33">
        <f t="shared" si="18"/>
        <v>0.90809999999999746</v>
      </c>
    </row>
    <row r="923" spans="1:11" x14ac:dyDescent="0.2">
      <c r="A923" s="70">
        <v>44704</v>
      </c>
      <c r="B923" s="57">
        <v>2367</v>
      </c>
      <c r="C923" s="57" t="s">
        <v>173</v>
      </c>
      <c r="D923" s="57" t="s">
        <v>177</v>
      </c>
      <c r="E923" s="57" t="s">
        <v>178</v>
      </c>
      <c r="F923" s="57">
        <f t="shared" si="19"/>
        <v>0</v>
      </c>
      <c r="G923" s="57">
        <v>25.3186</v>
      </c>
      <c r="H923" s="57">
        <v>25.967300000000002</v>
      </c>
      <c r="I923" s="57">
        <v>25.6296</v>
      </c>
      <c r="J923" s="33">
        <f t="shared" si="17"/>
        <v>0.64870000000000161</v>
      </c>
      <c r="K923" s="33">
        <f t="shared" si="18"/>
        <v>0.31099999999999994</v>
      </c>
    </row>
    <row r="924" spans="1:11" x14ac:dyDescent="0.2">
      <c r="A924" s="70">
        <v>44704</v>
      </c>
      <c r="B924" s="57">
        <v>2380</v>
      </c>
      <c r="C924" s="57" t="s">
        <v>173</v>
      </c>
      <c r="D924" s="57" t="s">
        <v>177</v>
      </c>
      <c r="E924" s="57" t="s">
        <v>178</v>
      </c>
      <c r="F924" s="57">
        <f t="shared" si="19"/>
        <v>0</v>
      </c>
      <c r="G924" s="57">
        <v>25.699400000000001</v>
      </c>
      <c r="H924" s="57">
        <v>27.4819</v>
      </c>
      <c r="I924" s="57">
        <v>26.666799999999999</v>
      </c>
      <c r="J924" s="33">
        <f t="shared" si="17"/>
        <v>1.7824999999999989</v>
      </c>
      <c r="K924" s="33">
        <f t="shared" si="18"/>
        <v>0.96739999999999782</v>
      </c>
    </row>
    <row r="925" spans="1:11" x14ac:dyDescent="0.2">
      <c r="A925" s="70">
        <v>44704</v>
      </c>
      <c r="B925" s="57">
        <v>2376</v>
      </c>
      <c r="C925" s="57" t="s">
        <v>173</v>
      </c>
      <c r="D925" s="57" t="s">
        <v>174</v>
      </c>
      <c r="E925" s="57" t="s">
        <v>178</v>
      </c>
      <c r="F925" s="57">
        <f t="shared" si="19"/>
        <v>1</v>
      </c>
      <c r="G925" s="57">
        <v>26.121600000000001</v>
      </c>
      <c r="H925" s="57">
        <v>27.314599999999999</v>
      </c>
      <c r="I925" s="57">
        <v>27.012699999999999</v>
      </c>
      <c r="J925" s="33">
        <f t="shared" si="17"/>
        <v>1.1929999999999978</v>
      </c>
      <c r="K925" s="33">
        <f t="shared" si="18"/>
        <v>0.891099999999998</v>
      </c>
    </row>
    <row r="926" spans="1:11" x14ac:dyDescent="0.2">
      <c r="A926" s="70">
        <v>44704</v>
      </c>
      <c r="B926" s="57">
        <v>2077</v>
      </c>
      <c r="C926" s="57" t="s">
        <v>173</v>
      </c>
      <c r="D926" s="57" t="s">
        <v>177</v>
      </c>
      <c r="E926" s="57" t="s">
        <v>175</v>
      </c>
      <c r="F926" s="57">
        <f t="shared" si="19"/>
        <v>0</v>
      </c>
      <c r="G926" s="57">
        <v>26.6755</v>
      </c>
      <c r="H926" s="57">
        <v>26.388400000000001</v>
      </c>
      <c r="I926" s="57">
        <v>25.675799999999999</v>
      </c>
      <c r="J926" s="33">
        <f t="shared" si="17"/>
        <v>-0.2870999999999988</v>
      </c>
      <c r="K926" s="33">
        <f t="shared" si="18"/>
        <v>-0.9997000000000007</v>
      </c>
    </row>
    <row r="927" spans="1:11" x14ac:dyDescent="0.2">
      <c r="A927" s="70">
        <v>44704</v>
      </c>
      <c r="B927" s="57">
        <v>2354</v>
      </c>
      <c r="C927" s="57" t="s">
        <v>173</v>
      </c>
      <c r="D927" s="57" t="s">
        <v>174</v>
      </c>
      <c r="E927" s="57" t="s">
        <v>178</v>
      </c>
      <c r="F927" s="57">
        <f t="shared" si="19"/>
        <v>1</v>
      </c>
      <c r="G927" s="57">
        <v>25.093499999999999</v>
      </c>
      <c r="H927" s="57">
        <v>27.585799999999999</v>
      </c>
      <c r="I927" s="57">
        <v>27.093499999999999</v>
      </c>
      <c r="J927" s="33">
        <f t="shared" si="17"/>
        <v>2.4923000000000002</v>
      </c>
      <c r="K927" s="33">
        <f t="shared" si="18"/>
        <v>2</v>
      </c>
    </row>
    <row r="928" spans="1:11" x14ac:dyDescent="0.2">
      <c r="A928" s="70">
        <v>44704</v>
      </c>
      <c r="B928" s="57">
        <v>2382</v>
      </c>
      <c r="C928" s="57" t="s">
        <v>173</v>
      </c>
      <c r="D928" s="57" t="s">
        <v>174</v>
      </c>
      <c r="E928" s="57" t="s">
        <v>175</v>
      </c>
      <c r="F928" s="57">
        <f t="shared" si="19"/>
        <v>1</v>
      </c>
      <c r="G928" s="57">
        <v>25.738099999999999</v>
      </c>
      <c r="H928" s="57">
        <v>26.295500000000001</v>
      </c>
      <c r="I928" s="57">
        <v>25.860399999999998</v>
      </c>
      <c r="J928" s="33">
        <f t="shared" si="17"/>
        <v>0.55740000000000123</v>
      </c>
      <c r="K928" s="33">
        <f t="shared" si="18"/>
        <v>0.12229999999999919</v>
      </c>
    </row>
    <row r="929" spans="1:11" x14ac:dyDescent="0.2">
      <c r="A929" s="70">
        <v>44704</v>
      </c>
      <c r="B929" s="57">
        <v>2369</v>
      </c>
      <c r="C929" s="57" t="s">
        <v>173</v>
      </c>
      <c r="D929" s="57" t="s">
        <v>177</v>
      </c>
      <c r="E929" s="57" t="s">
        <v>178</v>
      </c>
      <c r="F929" s="57">
        <f t="shared" si="19"/>
        <v>0</v>
      </c>
      <c r="G929" s="57">
        <v>25.882000000000001</v>
      </c>
      <c r="H929" s="57">
        <v>27.992999999999999</v>
      </c>
      <c r="I929" s="57">
        <v>26.773199999999999</v>
      </c>
      <c r="J929" s="33">
        <f t="shared" si="17"/>
        <v>2.1109999999999971</v>
      </c>
      <c r="K929" s="33">
        <f t="shared" si="18"/>
        <v>0.89119999999999777</v>
      </c>
    </row>
    <row r="930" spans="1:11" x14ac:dyDescent="0.2">
      <c r="A930" s="70">
        <v>44704</v>
      </c>
      <c r="B930" s="57">
        <v>2370</v>
      </c>
      <c r="C930" s="57" t="s">
        <v>173</v>
      </c>
      <c r="D930" s="57" t="s">
        <v>177</v>
      </c>
      <c r="E930" s="57" t="s">
        <v>178</v>
      </c>
      <c r="F930" s="57">
        <f t="shared" si="19"/>
        <v>0</v>
      </c>
      <c r="G930" s="57">
        <v>26.104600000000001</v>
      </c>
      <c r="H930" s="57">
        <v>28.136199999999999</v>
      </c>
      <c r="I930" s="57">
        <v>27.124300000000002</v>
      </c>
      <c r="J930" s="33">
        <f t="shared" si="17"/>
        <v>2.0315999999999974</v>
      </c>
      <c r="K930" s="33">
        <f t="shared" si="18"/>
        <v>1.0197000000000003</v>
      </c>
    </row>
    <row r="931" spans="1:11" x14ac:dyDescent="0.2">
      <c r="A931" s="70">
        <v>44704</v>
      </c>
      <c r="B931" s="57">
        <v>2383</v>
      </c>
      <c r="C931" s="57" t="s">
        <v>173</v>
      </c>
      <c r="D931" s="57" t="s">
        <v>174</v>
      </c>
      <c r="E931" s="57" t="s">
        <v>175</v>
      </c>
      <c r="F931" s="57">
        <f t="shared" si="19"/>
        <v>1</v>
      </c>
      <c r="G931" s="57">
        <v>25.7011</v>
      </c>
      <c r="H931" s="57">
        <v>26.328199999999999</v>
      </c>
      <c r="I931" s="57">
        <v>25.795999999999999</v>
      </c>
      <c r="J931" s="33">
        <f t="shared" si="17"/>
        <v>0.62709999999999866</v>
      </c>
      <c r="K931" s="33">
        <f t="shared" si="18"/>
        <v>9.4899999999999096E-2</v>
      </c>
    </row>
    <row r="932" spans="1:11" x14ac:dyDescent="0.2">
      <c r="A932" s="70">
        <v>44704</v>
      </c>
      <c r="B932" s="57">
        <v>2352</v>
      </c>
      <c r="C932" s="57" t="s">
        <v>173</v>
      </c>
      <c r="D932" s="57" t="s">
        <v>174</v>
      </c>
      <c r="E932" s="57" t="s">
        <v>175</v>
      </c>
      <c r="F932" s="57">
        <f t="shared" si="19"/>
        <v>1</v>
      </c>
      <c r="G932" s="57">
        <v>26.117100000000001</v>
      </c>
      <c r="H932" s="57">
        <v>26.048999999999999</v>
      </c>
      <c r="I932" s="57">
        <v>26.303100000000001</v>
      </c>
      <c r="J932" s="33">
        <f t="shared" si="17"/>
        <v>-6.810000000000116E-2</v>
      </c>
      <c r="K932" s="33">
        <f t="shared" si="18"/>
        <v>0.18599999999999994</v>
      </c>
    </row>
    <row r="933" spans="1:11" x14ac:dyDescent="0.2">
      <c r="A933" s="70">
        <v>44704</v>
      </c>
      <c r="B933" s="57">
        <v>2009</v>
      </c>
      <c r="C933" s="57" t="s">
        <v>173</v>
      </c>
      <c r="D933" s="57" t="s">
        <v>174</v>
      </c>
      <c r="E933" s="57" t="s">
        <v>175</v>
      </c>
      <c r="F933" s="57">
        <f t="shared" si="19"/>
        <v>1</v>
      </c>
      <c r="G933" s="57">
        <v>25.9115</v>
      </c>
      <c r="H933" s="57">
        <v>26.379200000000001</v>
      </c>
      <c r="I933" s="57">
        <v>26.168700000000001</v>
      </c>
      <c r="J933" s="33">
        <f t="shared" si="17"/>
        <v>0.46770000000000067</v>
      </c>
      <c r="K933" s="33">
        <f t="shared" si="18"/>
        <v>0.25720000000000098</v>
      </c>
    </row>
    <row r="934" spans="1:11" x14ac:dyDescent="0.2">
      <c r="A934" s="70">
        <v>44704</v>
      </c>
      <c r="B934" s="57">
        <v>2384</v>
      </c>
      <c r="C934" s="57" t="s">
        <v>173</v>
      </c>
      <c r="D934" s="57" t="s">
        <v>177</v>
      </c>
      <c r="E934" s="57" t="s">
        <v>175</v>
      </c>
      <c r="F934" s="57">
        <f t="shared" si="19"/>
        <v>0</v>
      </c>
      <c r="G934" s="57">
        <v>26.1113</v>
      </c>
      <c r="H934" s="57">
        <v>25.8568</v>
      </c>
      <c r="I934" s="57">
        <v>26.160699999999999</v>
      </c>
      <c r="J934" s="33">
        <f t="shared" si="17"/>
        <v>-0.25450000000000017</v>
      </c>
      <c r="K934" s="33">
        <f t="shared" si="18"/>
        <v>4.9399999999998556E-2</v>
      </c>
    </row>
    <row r="935" spans="1:11" x14ac:dyDescent="0.2">
      <c r="A935" s="70">
        <v>44704</v>
      </c>
      <c r="B935" s="57">
        <v>2343</v>
      </c>
      <c r="C935" s="57" t="s">
        <v>173</v>
      </c>
      <c r="D935" s="57" t="s">
        <v>174</v>
      </c>
      <c r="E935" s="57" t="s">
        <v>175</v>
      </c>
      <c r="F935" s="57">
        <f t="shared" si="19"/>
        <v>1</v>
      </c>
      <c r="G935" s="57">
        <v>26.075399999999998</v>
      </c>
      <c r="H935" s="57">
        <v>26.276299999999999</v>
      </c>
      <c r="I935" s="57">
        <v>26.194600000000001</v>
      </c>
      <c r="J935" s="33">
        <f t="shared" si="17"/>
        <v>0.20090000000000074</v>
      </c>
      <c r="K935" s="33">
        <f t="shared" si="18"/>
        <v>0.11920000000000286</v>
      </c>
    </row>
    <row r="936" spans="1:11" x14ac:dyDescent="0.2">
      <c r="A936" s="70">
        <v>44706</v>
      </c>
      <c r="B936" s="57">
        <v>2085</v>
      </c>
      <c r="C936" s="57" t="s">
        <v>176</v>
      </c>
      <c r="D936" s="57" t="s">
        <v>174</v>
      </c>
      <c r="E936" s="57" t="s">
        <v>175</v>
      </c>
      <c r="F936" s="57">
        <f t="shared" si="19"/>
        <v>1</v>
      </c>
      <c r="G936" s="57">
        <v>15.0587</v>
      </c>
      <c r="H936" s="57">
        <v>15.3748</v>
      </c>
      <c r="I936" s="57">
        <v>15.2377</v>
      </c>
      <c r="J936" s="33">
        <f t="shared" si="17"/>
        <v>0.31610000000000049</v>
      </c>
      <c r="K936" s="33">
        <f t="shared" si="18"/>
        <v>0.17900000000000027</v>
      </c>
    </row>
    <row r="937" spans="1:11" x14ac:dyDescent="0.2">
      <c r="A937" s="70">
        <v>44704</v>
      </c>
      <c r="B937" s="57">
        <v>2365</v>
      </c>
      <c r="C937" s="57" t="s">
        <v>173</v>
      </c>
      <c r="D937" s="57" t="s">
        <v>177</v>
      </c>
      <c r="E937" s="57" t="s">
        <v>178</v>
      </c>
      <c r="F937" s="57">
        <f t="shared" si="19"/>
        <v>0</v>
      </c>
      <c r="G937" s="57">
        <v>25.812200000000001</v>
      </c>
      <c r="H937" s="57">
        <v>27.313099999999999</v>
      </c>
      <c r="I937" s="57">
        <v>26.375800000000002</v>
      </c>
      <c r="J937" s="33">
        <f t="shared" si="17"/>
        <v>1.5008999999999979</v>
      </c>
      <c r="K937" s="33">
        <f t="shared" si="18"/>
        <v>0.56360000000000099</v>
      </c>
    </row>
    <row r="938" spans="1:11" x14ac:dyDescent="0.2">
      <c r="A938" s="70">
        <v>44704</v>
      </c>
      <c r="B938" s="57">
        <v>2369</v>
      </c>
      <c r="C938" s="57" t="s">
        <v>173</v>
      </c>
      <c r="D938" s="57" t="s">
        <v>177</v>
      </c>
      <c r="E938" s="57" t="s">
        <v>175</v>
      </c>
      <c r="F938" s="57">
        <f t="shared" si="19"/>
        <v>0</v>
      </c>
      <c r="G938" s="57">
        <v>26.212599999999998</v>
      </c>
      <c r="H938" s="57">
        <v>26.773199999999999</v>
      </c>
      <c r="I938" s="57">
        <v>26.294599999999999</v>
      </c>
      <c r="J938" s="33">
        <f t="shared" si="17"/>
        <v>0.56060000000000088</v>
      </c>
      <c r="K938" s="33">
        <f t="shared" si="18"/>
        <v>8.2000000000000739E-2</v>
      </c>
    </row>
    <row r="939" spans="1:11" x14ac:dyDescent="0.2">
      <c r="A939" s="70">
        <v>44704</v>
      </c>
      <c r="B939" s="57">
        <v>2331</v>
      </c>
      <c r="C939" s="57" t="s">
        <v>173</v>
      </c>
      <c r="D939" s="57" t="s">
        <v>174</v>
      </c>
      <c r="E939" s="57" t="s">
        <v>178</v>
      </c>
      <c r="F939" s="57">
        <f t="shared" si="19"/>
        <v>1</v>
      </c>
      <c r="G939" s="57">
        <v>26.052700000000002</v>
      </c>
      <c r="H939" s="57">
        <v>27.176200000000001</v>
      </c>
      <c r="I939" s="57">
        <v>26.686599999999999</v>
      </c>
      <c r="J939" s="33">
        <f t="shared" si="17"/>
        <v>1.1234999999999999</v>
      </c>
      <c r="K939" s="33">
        <f t="shared" si="18"/>
        <v>0.63389999999999702</v>
      </c>
    </row>
    <row r="940" spans="1:11" x14ac:dyDescent="0.2">
      <c r="A940" s="70">
        <v>44704</v>
      </c>
      <c r="B940" s="57">
        <v>2343</v>
      </c>
      <c r="C940" s="57" t="s">
        <v>173</v>
      </c>
      <c r="D940" s="57" t="s">
        <v>177</v>
      </c>
      <c r="E940" s="57" t="s">
        <v>175</v>
      </c>
      <c r="F940" s="57">
        <f t="shared" si="19"/>
        <v>0</v>
      </c>
      <c r="G940" s="57">
        <v>25.675999999999998</v>
      </c>
      <c r="H940" s="57">
        <v>25.8809</v>
      </c>
      <c r="I940" s="57">
        <v>25.801600000000001</v>
      </c>
      <c r="J940" s="33">
        <f t="shared" si="17"/>
        <v>0.20490000000000208</v>
      </c>
      <c r="K940" s="33">
        <f t="shared" si="18"/>
        <v>0.12560000000000215</v>
      </c>
    </row>
    <row r="941" spans="1:11" x14ac:dyDescent="0.2">
      <c r="A941" s="70">
        <v>44704</v>
      </c>
      <c r="B941" s="57">
        <v>2382</v>
      </c>
      <c r="C941" s="57" t="s">
        <v>173</v>
      </c>
      <c r="D941" s="57" t="s">
        <v>177</v>
      </c>
      <c r="E941" s="57" t="s">
        <v>175</v>
      </c>
      <c r="F941" s="57">
        <f t="shared" si="19"/>
        <v>0</v>
      </c>
      <c r="G941" s="57">
        <v>25.752099999999999</v>
      </c>
      <c r="H941" s="57">
        <v>25.98</v>
      </c>
      <c r="I941" s="57">
        <v>25.869</v>
      </c>
      <c r="J941" s="33">
        <f t="shared" si="17"/>
        <v>0.22790000000000177</v>
      </c>
      <c r="K941" s="33">
        <f t="shared" si="18"/>
        <v>0.11690000000000111</v>
      </c>
    </row>
    <row r="942" spans="1:11" x14ac:dyDescent="0.2">
      <c r="A942" s="70">
        <v>44704</v>
      </c>
      <c r="B942" s="57">
        <v>2380</v>
      </c>
      <c r="C942" s="57" t="s">
        <v>173</v>
      </c>
      <c r="D942" s="57" t="s">
        <v>174</v>
      </c>
      <c r="E942" s="57" t="s">
        <v>178</v>
      </c>
      <c r="F942" s="57">
        <f t="shared" si="19"/>
        <v>1</v>
      </c>
      <c r="G942" s="57">
        <v>25.750499999999999</v>
      </c>
      <c r="H942" s="57">
        <v>26.7941</v>
      </c>
      <c r="I942" s="57">
        <v>26.132000000000001</v>
      </c>
      <c r="J942" s="33">
        <f t="shared" si="17"/>
        <v>1.0436000000000014</v>
      </c>
      <c r="K942" s="33">
        <f t="shared" si="18"/>
        <v>0.38150000000000261</v>
      </c>
    </row>
    <row r="943" spans="1:11" x14ac:dyDescent="0.2">
      <c r="A943" s="70">
        <v>44704</v>
      </c>
      <c r="B943" s="57">
        <v>2070</v>
      </c>
      <c r="C943" s="57" t="s">
        <v>173</v>
      </c>
      <c r="D943" s="57" t="s">
        <v>177</v>
      </c>
      <c r="E943" s="57" t="s">
        <v>175</v>
      </c>
      <c r="F943" s="57">
        <f t="shared" si="19"/>
        <v>0</v>
      </c>
      <c r="G943" s="57">
        <v>25.304500000000001</v>
      </c>
      <c r="H943" s="57">
        <v>25.850999999999999</v>
      </c>
      <c r="I943" s="57">
        <v>25.366299999999999</v>
      </c>
      <c r="J943" s="33">
        <f t="shared" si="17"/>
        <v>0.54649999999999821</v>
      </c>
      <c r="K943" s="33">
        <f t="shared" si="18"/>
        <v>6.1799999999998079E-2</v>
      </c>
    </row>
    <row r="944" spans="1:11" x14ac:dyDescent="0.2">
      <c r="A944" s="70">
        <v>44704</v>
      </c>
      <c r="B944" s="57">
        <v>2382</v>
      </c>
      <c r="C944" s="57" t="s">
        <v>173</v>
      </c>
      <c r="D944" s="57" t="s">
        <v>177</v>
      </c>
      <c r="E944" s="57" t="s">
        <v>178</v>
      </c>
      <c r="F944" s="57">
        <f t="shared" si="19"/>
        <v>0</v>
      </c>
      <c r="G944" s="57">
        <v>25.9649</v>
      </c>
      <c r="H944" s="57">
        <v>28.192399999999999</v>
      </c>
      <c r="I944" s="57">
        <v>27.088200000000001</v>
      </c>
      <c r="J944" s="33">
        <f t="shared" si="17"/>
        <v>2.2274999999999991</v>
      </c>
      <c r="K944" s="33">
        <f t="shared" si="18"/>
        <v>1.1233000000000004</v>
      </c>
    </row>
    <row r="945" spans="1:11" x14ac:dyDescent="0.2">
      <c r="A945" s="70">
        <v>44704</v>
      </c>
      <c r="B945" s="57">
        <v>2077</v>
      </c>
      <c r="C945" s="57" t="s">
        <v>173</v>
      </c>
      <c r="D945" s="57" t="s">
        <v>177</v>
      </c>
      <c r="E945" s="57" t="s">
        <v>178</v>
      </c>
      <c r="F945" s="57">
        <f t="shared" si="19"/>
        <v>0</v>
      </c>
      <c r="G945" s="57">
        <v>25.691800000000001</v>
      </c>
      <c r="H945" s="57">
        <v>27.295200000000001</v>
      </c>
      <c r="I945" s="57">
        <v>26.3035</v>
      </c>
      <c r="J945" s="33">
        <f t="shared" si="17"/>
        <v>1.6034000000000006</v>
      </c>
      <c r="K945" s="33">
        <f t="shared" si="18"/>
        <v>0.61169999999999902</v>
      </c>
    </row>
    <row r="946" spans="1:11" x14ac:dyDescent="0.2">
      <c r="A946" s="70">
        <v>44704</v>
      </c>
      <c r="B946" s="57">
        <v>2346</v>
      </c>
      <c r="C946" s="57" t="s">
        <v>173</v>
      </c>
      <c r="D946" s="57" t="s">
        <v>177</v>
      </c>
      <c r="E946" s="57" t="s">
        <v>178</v>
      </c>
      <c r="F946" s="57">
        <f t="shared" si="19"/>
        <v>0</v>
      </c>
      <c r="G946" s="57">
        <v>15.1112</v>
      </c>
      <c r="H946" s="57">
        <v>16.561499999999999</v>
      </c>
      <c r="I946" s="57">
        <v>15.8687</v>
      </c>
      <c r="J946" s="33">
        <f t="shared" si="17"/>
        <v>1.4502999999999986</v>
      </c>
      <c r="K946" s="33">
        <f t="shared" si="18"/>
        <v>0.75750000000000028</v>
      </c>
    </row>
    <row r="947" spans="1:11" x14ac:dyDescent="0.2">
      <c r="A947" s="70">
        <v>44704</v>
      </c>
      <c r="B947" s="57">
        <v>2369</v>
      </c>
      <c r="C947" s="57" t="s">
        <v>173</v>
      </c>
      <c r="D947" s="57" t="s">
        <v>174</v>
      </c>
      <c r="E947" s="57" t="s">
        <v>175</v>
      </c>
      <c r="F947" s="57">
        <f t="shared" si="19"/>
        <v>1</v>
      </c>
      <c r="G947" s="57">
        <v>25.701699999999999</v>
      </c>
      <c r="H947" s="57">
        <v>26.3123</v>
      </c>
      <c r="I947" s="57">
        <v>26.037600000000001</v>
      </c>
      <c r="J947" s="33">
        <f t="shared" si="17"/>
        <v>0.61060000000000159</v>
      </c>
      <c r="K947" s="33">
        <f t="shared" si="18"/>
        <v>0.33590000000000231</v>
      </c>
    </row>
    <row r="948" spans="1:11" x14ac:dyDescent="0.2">
      <c r="A948" s="70">
        <v>44704</v>
      </c>
      <c r="B948" s="57">
        <v>2371</v>
      </c>
      <c r="C948" s="57" t="s">
        <v>173</v>
      </c>
      <c r="D948" s="57" t="s">
        <v>177</v>
      </c>
      <c r="E948" s="57" t="s">
        <v>178</v>
      </c>
      <c r="F948" s="57">
        <f t="shared" si="19"/>
        <v>0</v>
      </c>
      <c r="G948" s="57">
        <v>25.8399</v>
      </c>
      <c r="H948" s="57">
        <v>28.742599999999999</v>
      </c>
      <c r="I948" s="57">
        <v>27.095500000000001</v>
      </c>
      <c r="J948" s="33">
        <f t="shared" si="17"/>
        <v>2.9026999999999994</v>
      </c>
      <c r="K948" s="33">
        <f t="shared" si="18"/>
        <v>1.2556000000000012</v>
      </c>
    </row>
    <row r="949" spans="1:11" x14ac:dyDescent="0.2">
      <c r="A949" s="70">
        <v>44704</v>
      </c>
      <c r="B949" s="57">
        <v>2360</v>
      </c>
      <c r="C949" s="57" t="s">
        <v>173</v>
      </c>
      <c r="D949" s="57" t="s">
        <v>174</v>
      </c>
      <c r="E949" s="57" t="s">
        <v>175</v>
      </c>
      <c r="F949" s="57">
        <f t="shared" si="19"/>
        <v>1</v>
      </c>
      <c r="G949" s="57">
        <v>25.552499999999998</v>
      </c>
      <c r="H949" s="57">
        <v>26.189599999999999</v>
      </c>
      <c r="I949" s="57">
        <v>26.029399999999999</v>
      </c>
      <c r="J949" s="33">
        <f t="shared" si="17"/>
        <v>0.63710000000000022</v>
      </c>
      <c r="K949" s="33">
        <f t="shared" si="18"/>
        <v>0.47690000000000055</v>
      </c>
    </row>
    <row r="950" spans="1:11" x14ac:dyDescent="0.2">
      <c r="A950" s="70">
        <v>44706</v>
      </c>
      <c r="B950" s="57">
        <v>2005</v>
      </c>
      <c r="C950" s="57" t="s">
        <v>176</v>
      </c>
      <c r="D950" s="57" t="s">
        <v>177</v>
      </c>
      <c r="E950" s="57" t="s">
        <v>175</v>
      </c>
      <c r="F950" s="57">
        <f t="shared" si="19"/>
        <v>0</v>
      </c>
      <c r="G950" s="57">
        <v>26.303899999999999</v>
      </c>
      <c r="H950" s="57">
        <v>27.218299999999999</v>
      </c>
      <c r="I950" s="57">
        <v>26.7439</v>
      </c>
      <c r="J950" s="33">
        <f t="shared" si="17"/>
        <v>0.91440000000000055</v>
      </c>
      <c r="K950" s="33">
        <f t="shared" si="18"/>
        <v>0.44000000000000128</v>
      </c>
    </row>
    <row r="951" spans="1:11" x14ac:dyDescent="0.2">
      <c r="A951" s="70">
        <v>44706</v>
      </c>
      <c r="B951" s="57">
        <v>2085</v>
      </c>
      <c r="C951" s="57" t="s">
        <v>176</v>
      </c>
      <c r="D951" s="57" t="s">
        <v>177</v>
      </c>
      <c r="E951" s="57" t="s">
        <v>175</v>
      </c>
      <c r="F951" s="57">
        <f t="shared" si="19"/>
        <v>0</v>
      </c>
      <c r="G951" s="57">
        <v>15.450200000000001</v>
      </c>
      <c r="H951" s="57">
        <v>15.896599999999999</v>
      </c>
      <c r="I951" s="57">
        <v>15.6099</v>
      </c>
      <c r="J951" s="33">
        <f t="shared" si="17"/>
        <v>0.4463999999999988</v>
      </c>
      <c r="K951" s="33">
        <f t="shared" si="18"/>
        <v>0.15969999999999906</v>
      </c>
    </row>
    <row r="952" spans="1:11" x14ac:dyDescent="0.2">
      <c r="A952" s="70">
        <v>44704</v>
      </c>
      <c r="B952" s="57">
        <v>2372</v>
      </c>
      <c r="C952" s="57" t="s">
        <v>173</v>
      </c>
      <c r="D952" s="57" t="s">
        <v>177</v>
      </c>
      <c r="E952" s="57" t="s">
        <v>178</v>
      </c>
      <c r="F952" s="57">
        <f t="shared" si="19"/>
        <v>0</v>
      </c>
      <c r="G952" s="57">
        <v>26.082899999999999</v>
      </c>
      <c r="H952" s="57">
        <v>28.696999999999999</v>
      </c>
      <c r="I952" s="57">
        <v>27.471</v>
      </c>
      <c r="J952" s="33">
        <f t="shared" si="17"/>
        <v>2.6141000000000005</v>
      </c>
      <c r="K952" s="33">
        <f t="shared" si="18"/>
        <v>1.3881000000000014</v>
      </c>
    </row>
    <row r="953" spans="1:11" x14ac:dyDescent="0.2">
      <c r="A953" s="70">
        <v>44704</v>
      </c>
      <c r="B953" s="57">
        <v>2009</v>
      </c>
      <c r="C953" s="57" t="s">
        <v>173</v>
      </c>
      <c r="D953" s="57" t="s">
        <v>177</v>
      </c>
      <c r="E953" s="57" t="s">
        <v>178</v>
      </c>
      <c r="F953" s="57">
        <f t="shared" si="19"/>
        <v>0</v>
      </c>
      <c r="G953" s="57">
        <v>26.054200000000002</v>
      </c>
      <c r="H953" s="57">
        <v>27.004799999999999</v>
      </c>
      <c r="I953" s="57">
        <v>26.752199999999998</v>
      </c>
      <c r="J953" s="33">
        <f t="shared" si="17"/>
        <v>0.95059999999999789</v>
      </c>
      <c r="K953" s="33">
        <f t="shared" si="18"/>
        <v>0.69799999999999685</v>
      </c>
    </row>
    <row r="954" spans="1:11" x14ac:dyDescent="0.2">
      <c r="A954" s="70">
        <v>44706</v>
      </c>
      <c r="B954" s="57">
        <v>2012</v>
      </c>
      <c r="C954" s="57" t="s">
        <v>176</v>
      </c>
      <c r="D954" s="57" t="s">
        <v>174</v>
      </c>
      <c r="E954" s="57" t="s">
        <v>175</v>
      </c>
      <c r="F954" s="57">
        <f t="shared" si="19"/>
        <v>1</v>
      </c>
      <c r="G954" s="57">
        <v>25.900300000000001</v>
      </c>
      <c r="H954" s="57">
        <v>26.7121</v>
      </c>
      <c r="I954" s="57">
        <v>26.3324</v>
      </c>
      <c r="J954" s="33">
        <f t="shared" si="17"/>
        <v>0.81179999999999808</v>
      </c>
      <c r="K954" s="33">
        <f t="shared" si="18"/>
        <v>0.43209999999999837</v>
      </c>
    </row>
    <row r="955" spans="1:11" x14ac:dyDescent="0.2">
      <c r="A955" s="70">
        <v>44704</v>
      </c>
      <c r="B955" s="57">
        <v>2345</v>
      </c>
      <c r="C955" s="57" t="s">
        <v>173</v>
      </c>
      <c r="D955" s="57" t="s">
        <v>177</v>
      </c>
      <c r="E955" s="57" t="s">
        <v>178</v>
      </c>
      <c r="F955" s="57">
        <v>0</v>
      </c>
      <c r="G955" s="57">
        <v>15.448</v>
      </c>
      <c r="H955" s="57">
        <v>15.867000000000001</v>
      </c>
      <c r="I955" s="57">
        <v>15.644500000000001</v>
      </c>
      <c r="J955" s="33">
        <f t="shared" si="17"/>
        <v>0.41900000000000048</v>
      </c>
      <c r="K955" s="33">
        <f t="shared" si="18"/>
        <v>0.19650000000000034</v>
      </c>
    </row>
    <row r="956" spans="1:11" x14ac:dyDescent="0.2">
      <c r="A956" s="70">
        <v>44704</v>
      </c>
      <c r="B956" s="57">
        <v>2077</v>
      </c>
      <c r="C956" s="57" t="s">
        <v>173</v>
      </c>
      <c r="D956" s="57" t="s">
        <v>174</v>
      </c>
      <c r="E956" s="57" t="s">
        <v>175</v>
      </c>
      <c r="F956" s="57">
        <f t="shared" ref="F956:F1210" si="20">IF(D956="old",1,0)</f>
        <v>1</v>
      </c>
      <c r="G956" s="57">
        <v>26.4011</v>
      </c>
      <c r="H956" s="57">
        <v>26.792000000000002</v>
      </c>
      <c r="I956" s="57">
        <v>26.593900000000001</v>
      </c>
      <c r="J956" s="33">
        <f t="shared" si="17"/>
        <v>0.39090000000000202</v>
      </c>
      <c r="K956" s="33">
        <f t="shared" si="18"/>
        <v>0.19280000000000186</v>
      </c>
    </row>
    <row r="957" spans="1:11" x14ac:dyDescent="0.2">
      <c r="A957" s="70">
        <v>44704</v>
      </c>
      <c r="B957" s="57">
        <v>2343</v>
      </c>
      <c r="C957" s="57" t="s">
        <v>173</v>
      </c>
      <c r="D957" s="57" t="s">
        <v>177</v>
      </c>
      <c r="E957" s="57" t="s">
        <v>178</v>
      </c>
      <c r="F957" s="57">
        <f t="shared" si="20"/>
        <v>0</v>
      </c>
      <c r="G957" s="57">
        <v>26.0733</v>
      </c>
      <c r="H957" s="57">
        <v>27.3005</v>
      </c>
      <c r="I957" s="57">
        <v>26.829599999999999</v>
      </c>
      <c r="J957" s="33">
        <f t="shared" si="17"/>
        <v>1.2271999999999998</v>
      </c>
      <c r="K957" s="33">
        <f t="shared" si="18"/>
        <v>0.75629999999999953</v>
      </c>
    </row>
    <row r="958" spans="1:11" x14ac:dyDescent="0.2">
      <c r="A958" s="70">
        <v>44706</v>
      </c>
      <c r="B958" s="57">
        <v>2012</v>
      </c>
      <c r="C958" s="57" t="s">
        <v>176</v>
      </c>
      <c r="D958" s="57" t="s">
        <v>177</v>
      </c>
      <c r="E958" s="57" t="s">
        <v>178</v>
      </c>
      <c r="F958" s="57">
        <f t="shared" si="20"/>
        <v>0</v>
      </c>
      <c r="G958" s="57">
        <v>26.211099999999998</v>
      </c>
      <c r="H958" s="57">
        <v>30.034400000000002</v>
      </c>
      <c r="I958" s="57">
        <v>28.148800000000001</v>
      </c>
      <c r="J958" s="33">
        <f t="shared" si="17"/>
        <v>3.8233000000000033</v>
      </c>
      <c r="K958" s="33">
        <f t="shared" si="18"/>
        <v>1.9377000000000031</v>
      </c>
    </row>
    <row r="959" spans="1:11" x14ac:dyDescent="0.2">
      <c r="A959" s="70">
        <v>44704</v>
      </c>
      <c r="B959" s="57">
        <v>2378</v>
      </c>
      <c r="C959" s="57" t="s">
        <v>173</v>
      </c>
      <c r="D959" s="57" t="s">
        <v>177</v>
      </c>
      <c r="E959" s="57" t="s">
        <v>175</v>
      </c>
      <c r="F959" s="57">
        <f t="shared" si="20"/>
        <v>0</v>
      </c>
      <c r="G959" s="57">
        <v>25.569500000000001</v>
      </c>
      <c r="H959" s="57">
        <v>26.15</v>
      </c>
      <c r="I959" s="57">
        <v>25.645600000000002</v>
      </c>
      <c r="J959" s="33">
        <f t="shared" si="17"/>
        <v>0.58049999999999713</v>
      </c>
      <c r="K959" s="33">
        <f t="shared" si="18"/>
        <v>7.6100000000000279E-2</v>
      </c>
    </row>
    <row r="960" spans="1:11" x14ac:dyDescent="0.2">
      <c r="A960" s="70">
        <v>44704</v>
      </c>
      <c r="B960" s="57">
        <v>2009</v>
      </c>
      <c r="C960" s="57" t="s">
        <v>173</v>
      </c>
      <c r="D960" s="57" t="s">
        <v>177</v>
      </c>
      <c r="E960" s="57" t="s">
        <v>175</v>
      </c>
      <c r="F960" s="57">
        <f t="shared" si="20"/>
        <v>0</v>
      </c>
      <c r="G960" s="57">
        <v>25.712199999999999</v>
      </c>
      <c r="H960" s="57">
        <v>26.3324</v>
      </c>
      <c r="I960" s="57">
        <v>25.787700000000001</v>
      </c>
      <c r="J960" s="33">
        <f t="shared" si="17"/>
        <v>0.62020000000000053</v>
      </c>
      <c r="K960" s="33">
        <f t="shared" si="18"/>
        <v>7.5500000000001677E-2</v>
      </c>
    </row>
    <row r="961" spans="1:11" x14ac:dyDescent="0.2">
      <c r="A961" s="70">
        <v>44706</v>
      </c>
      <c r="B961" s="57">
        <v>2085</v>
      </c>
      <c r="C961" s="57" t="s">
        <v>176</v>
      </c>
      <c r="D961" s="57" t="s">
        <v>177</v>
      </c>
      <c r="E961" s="57" t="s">
        <v>178</v>
      </c>
      <c r="F961" s="57">
        <f t="shared" si="20"/>
        <v>0</v>
      </c>
      <c r="G961" s="57">
        <v>14.853999999999999</v>
      </c>
      <c r="H961" s="57">
        <v>17.638300000000001</v>
      </c>
      <c r="I961" s="57">
        <v>16.0776</v>
      </c>
      <c r="J961" s="33">
        <f t="shared" si="17"/>
        <v>2.7843000000000018</v>
      </c>
      <c r="K961" s="33">
        <f t="shared" si="18"/>
        <v>1.2236000000000011</v>
      </c>
    </row>
    <row r="962" spans="1:11" x14ac:dyDescent="0.2">
      <c r="A962" s="70">
        <v>44704</v>
      </c>
      <c r="B962" s="57">
        <v>2383</v>
      </c>
      <c r="C962" s="57" t="s">
        <v>173</v>
      </c>
      <c r="D962" s="57" t="s">
        <v>177</v>
      </c>
      <c r="E962" s="57" t="s">
        <v>175</v>
      </c>
      <c r="F962" s="57">
        <f t="shared" si="20"/>
        <v>0</v>
      </c>
      <c r="G962" s="57">
        <v>26.398900000000001</v>
      </c>
      <c r="H962" s="57">
        <v>26.097200000000001</v>
      </c>
      <c r="I962" s="57">
        <v>26.4404</v>
      </c>
      <c r="J962" s="33">
        <f t="shared" si="17"/>
        <v>-0.3017000000000003</v>
      </c>
      <c r="K962" s="33">
        <f t="shared" si="18"/>
        <v>4.1499999999999204E-2</v>
      </c>
    </row>
    <row r="963" spans="1:11" x14ac:dyDescent="0.2">
      <c r="A963" s="70">
        <v>44704</v>
      </c>
      <c r="B963" s="57">
        <v>2383</v>
      </c>
      <c r="C963" s="57" t="s">
        <v>173</v>
      </c>
      <c r="D963" s="57" t="s">
        <v>177</v>
      </c>
      <c r="E963" s="57" t="s">
        <v>178</v>
      </c>
      <c r="F963" s="57">
        <f t="shared" si="20"/>
        <v>0</v>
      </c>
      <c r="G963" s="57">
        <v>26.363399999999999</v>
      </c>
      <c r="H963" s="57">
        <v>26.954599999999999</v>
      </c>
      <c r="I963" s="57">
        <v>26.838200000000001</v>
      </c>
      <c r="J963" s="33">
        <f t="shared" si="17"/>
        <v>0.59120000000000061</v>
      </c>
      <c r="K963" s="33">
        <f t="shared" si="18"/>
        <v>0.47480000000000189</v>
      </c>
    </row>
    <row r="964" spans="1:11" x14ac:dyDescent="0.2">
      <c r="A964" s="70">
        <v>44706</v>
      </c>
      <c r="B964" s="57">
        <v>2005</v>
      </c>
      <c r="C964" s="57" t="s">
        <v>176</v>
      </c>
      <c r="D964" s="57" t="s">
        <v>174</v>
      </c>
      <c r="E964" s="57" t="s">
        <v>175</v>
      </c>
      <c r="F964" s="57">
        <f t="shared" si="20"/>
        <v>1</v>
      </c>
      <c r="G964" s="57">
        <v>25.659199999999998</v>
      </c>
      <c r="H964" s="57">
        <v>26.546299999999999</v>
      </c>
      <c r="I964" s="57">
        <v>26.126999999999999</v>
      </c>
      <c r="J964" s="33">
        <f t="shared" si="17"/>
        <v>0.88710000000000022</v>
      </c>
      <c r="K964" s="33">
        <f t="shared" si="18"/>
        <v>0.46780000000000044</v>
      </c>
    </row>
    <row r="965" spans="1:11" x14ac:dyDescent="0.2">
      <c r="A965" s="70">
        <v>44706</v>
      </c>
      <c r="B965" s="57">
        <v>2012</v>
      </c>
      <c r="C965" s="57" t="s">
        <v>176</v>
      </c>
      <c r="D965" s="57" t="s">
        <v>177</v>
      </c>
      <c r="E965" s="57" t="s">
        <v>175</v>
      </c>
      <c r="F965" s="57">
        <f t="shared" si="20"/>
        <v>0</v>
      </c>
      <c r="G965" s="57">
        <v>26.284500000000001</v>
      </c>
      <c r="H965" s="57">
        <v>27.165800000000001</v>
      </c>
      <c r="I965" s="57">
        <v>26.676100000000002</v>
      </c>
      <c r="J965" s="33">
        <f t="shared" si="17"/>
        <v>0.88129999999999953</v>
      </c>
      <c r="K965" s="33">
        <f t="shared" si="18"/>
        <v>0.39160000000000039</v>
      </c>
    </row>
    <row r="966" spans="1:11" x14ac:dyDescent="0.2">
      <c r="A966" s="70">
        <v>44704</v>
      </c>
      <c r="B966" s="57">
        <v>2301</v>
      </c>
      <c r="C966" s="57" t="s">
        <v>173</v>
      </c>
      <c r="D966" s="57" t="s">
        <v>177</v>
      </c>
      <c r="E966" s="57" t="s">
        <v>178</v>
      </c>
      <c r="F966" s="57">
        <f t="shared" si="20"/>
        <v>0</v>
      </c>
      <c r="G966" s="57">
        <v>26.066199999999998</v>
      </c>
      <c r="H966" s="57">
        <v>28.075800000000001</v>
      </c>
      <c r="I966" s="57">
        <v>27.251000000000001</v>
      </c>
      <c r="J966" s="33">
        <f t="shared" si="17"/>
        <v>2.0096000000000025</v>
      </c>
      <c r="K966" s="33">
        <f t="shared" si="18"/>
        <v>1.1848000000000027</v>
      </c>
    </row>
    <row r="967" spans="1:11" x14ac:dyDescent="0.2">
      <c r="A967" s="70">
        <v>44704</v>
      </c>
      <c r="B967" s="57">
        <v>2380</v>
      </c>
      <c r="C967" s="57" t="s">
        <v>173</v>
      </c>
      <c r="D967" s="57" t="s">
        <v>174</v>
      </c>
      <c r="E967" s="57" t="s">
        <v>175</v>
      </c>
      <c r="F967" s="57">
        <f t="shared" si="20"/>
        <v>1</v>
      </c>
      <c r="G967" s="57">
        <v>25.878399999999999</v>
      </c>
      <c r="H967" s="57">
        <v>25.9617</v>
      </c>
      <c r="I967" s="57">
        <v>26.076799999999999</v>
      </c>
      <c r="J967" s="33">
        <f t="shared" si="17"/>
        <v>8.3300000000001262E-2</v>
      </c>
      <c r="K967" s="33">
        <f t="shared" si="18"/>
        <v>0.19839999999999947</v>
      </c>
    </row>
    <row r="968" spans="1:11" x14ac:dyDescent="0.2">
      <c r="A968" s="70">
        <v>44704</v>
      </c>
      <c r="B968" s="57">
        <v>2377</v>
      </c>
      <c r="C968" s="57" t="s">
        <v>173</v>
      </c>
      <c r="D968" s="57" t="s">
        <v>174</v>
      </c>
      <c r="E968" s="57" t="s">
        <v>178</v>
      </c>
      <c r="F968" s="57">
        <f t="shared" si="20"/>
        <v>1</v>
      </c>
      <c r="G968" s="57">
        <v>25.889800000000001</v>
      </c>
      <c r="H968" s="57">
        <v>27.092400000000001</v>
      </c>
      <c r="I968" s="57">
        <v>26.816299999999998</v>
      </c>
      <c r="J968" s="33">
        <f t="shared" si="17"/>
        <v>1.2026000000000003</v>
      </c>
      <c r="K968" s="33">
        <f t="shared" si="18"/>
        <v>0.92649999999999721</v>
      </c>
    </row>
    <row r="969" spans="1:11" x14ac:dyDescent="0.2">
      <c r="A969" s="70">
        <v>44704</v>
      </c>
      <c r="B969" s="57">
        <v>2345</v>
      </c>
      <c r="C969" s="57" t="s">
        <v>173</v>
      </c>
      <c r="D969" s="57" t="s">
        <v>174</v>
      </c>
      <c r="E969" s="57" t="s">
        <v>178</v>
      </c>
      <c r="F969" s="57">
        <f t="shared" si="20"/>
        <v>1</v>
      </c>
      <c r="G969" s="57">
        <v>14.741</v>
      </c>
      <c r="H969" s="57">
        <v>15.6854</v>
      </c>
      <c r="I969" s="57">
        <v>15.2621</v>
      </c>
      <c r="J969" s="33">
        <f t="shared" si="17"/>
        <v>0.94439999999999991</v>
      </c>
      <c r="K969" s="33">
        <f t="shared" si="18"/>
        <v>0.52110000000000056</v>
      </c>
    </row>
    <row r="970" spans="1:11" x14ac:dyDescent="0.2">
      <c r="A970" s="70">
        <v>44704</v>
      </c>
      <c r="B970" s="57">
        <v>2070</v>
      </c>
      <c r="C970" s="57" t="s">
        <v>173</v>
      </c>
      <c r="D970" s="57" t="s">
        <v>174</v>
      </c>
      <c r="E970" s="57" t="s">
        <v>175</v>
      </c>
      <c r="F970" s="57">
        <f t="shared" si="20"/>
        <v>1</v>
      </c>
      <c r="G970" s="57">
        <v>25.7971</v>
      </c>
      <c r="H970" s="57">
        <v>25.572700000000001</v>
      </c>
      <c r="I970" s="57">
        <v>25.868200000000002</v>
      </c>
      <c r="J970" s="33">
        <f t="shared" si="17"/>
        <v>-0.22439999999999927</v>
      </c>
      <c r="K970" s="33">
        <f t="shared" si="18"/>
        <v>7.1100000000001273E-2</v>
      </c>
    </row>
    <row r="971" spans="1:11" x14ac:dyDescent="0.2">
      <c r="A971" s="70">
        <v>44704</v>
      </c>
      <c r="B971" s="57">
        <v>2384</v>
      </c>
      <c r="C971" s="57" t="s">
        <v>173</v>
      </c>
      <c r="D971" s="57" t="s">
        <v>174</v>
      </c>
      <c r="E971" s="57" t="s">
        <v>175</v>
      </c>
      <c r="F971" s="57">
        <f t="shared" si="20"/>
        <v>1</v>
      </c>
      <c r="G971" s="57">
        <v>25.6721</v>
      </c>
      <c r="H971" s="57">
        <v>26.0823</v>
      </c>
      <c r="I971" s="57">
        <v>25.872900000000001</v>
      </c>
      <c r="J971" s="33">
        <f t="shared" si="17"/>
        <v>0.41019999999999968</v>
      </c>
      <c r="K971" s="33">
        <f t="shared" si="18"/>
        <v>0.20080000000000098</v>
      </c>
    </row>
    <row r="972" spans="1:11" x14ac:dyDescent="0.2">
      <c r="A972" s="70">
        <v>44706</v>
      </c>
      <c r="B972" s="57">
        <v>2090</v>
      </c>
      <c r="C972" s="57" t="s">
        <v>176</v>
      </c>
      <c r="D972" s="57" t="s">
        <v>177</v>
      </c>
      <c r="E972" s="57" t="s">
        <v>175</v>
      </c>
      <c r="F972" s="57">
        <f t="shared" si="20"/>
        <v>0</v>
      </c>
      <c r="G972" s="57">
        <v>6.3072999999999997</v>
      </c>
      <c r="H972" s="57">
        <v>6.5511999999999997</v>
      </c>
      <c r="I972" s="57">
        <v>6.4507000000000003</v>
      </c>
      <c r="J972" s="33">
        <f t="shared" si="17"/>
        <v>0.24390000000000001</v>
      </c>
      <c r="K972" s="33">
        <f t="shared" si="18"/>
        <v>0.14340000000000064</v>
      </c>
    </row>
    <row r="973" spans="1:11" x14ac:dyDescent="0.2">
      <c r="A973" s="70">
        <v>44706</v>
      </c>
      <c r="B973" s="57">
        <v>2090</v>
      </c>
      <c r="C973" s="57" t="s">
        <v>176</v>
      </c>
      <c r="D973" s="57" t="s">
        <v>177</v>
      </c>
      <c r="E973" s="57" t="s">
        <v>178</v>
      </c>
      <c r="F973" s="57">
        <f t="shared" si="20"/>
        <v>0</v>
      </c>
      <c r="G973" s="57">
        <v>7.2710999999999997</v>
      </c>
      <c r="H973" s="57">
        <v>10.262</v>
      </c>
      <c r="I973" s="57">
        <v>8.6811000000000007</v>
      </c>
      <c r="J973" s="33">
        <f t="shared" si="17"/>
        <v>2.9909000000000008</v>
      </c>
      <c r="K973" s="33">
        <f t="shared" si="18"/>
        <v>1.410000000000001</v>
      </c>
    </row>
    <row r="974" spans="1:11" x14ac:dyDescent="0.2">
      <c r="A974" s="70">
        <v>44706</v>
      </c>
      <c r="B974" s="57">
        <v>2089</v>
      </c>
      <c r="C974" s="57" t="s">
        <v>176</v>
      </c>
      <c r="D974" s="57" t="s">
        <v>177</v>
      </c>
      <c r="E974" s="57" t="s">
        <v>175</v>
      </c>
      <c r="F974" s="57">
        <f t="shared" si="20"/>
        <v>0</v>
      </c>
      <c r="G974" s="57">
        <v>7.3146000000000004</v>
      </c>
      <c r="H974" s="57">
        <v>7.4846000000000004</v>
      </c>
      <c r="I974" s="57">
        <v>7.3940999999999999</v>
      </c>
      <c r="J974" s="33">
        <f t="shared" si="17"/>
        <v>0.16999999999999993</v>
      </c>
      <c r="K974" s="33">
        <f t="shared" si="18"/>
        <v>7.949999999999946E-2</v>
      </c>
    </row>
    <row r="975" spans="1:11" x14ac:dyDescent="0.2">
      <c r="A975" s="70">
        <v>44706</v>
      </c>
      <c r="B975" s="57">
        <v>2087</v>
      </c>
      <c r="C975" s="57" t="s">
        <v>176</v>
      </c>
      <c r="D975" s="57" t="s">
        <v>177</v>
      </c>
      <c r="E975" s="57" t="s">
        <v>175</v>
      </c>
      <c r="F975" s="57">
        <f t="shared" si="20"/>
        <v>0</v>
      </c>
      <c r="G975" s="57">
        <v>7.3259999999999996</v>
      </c>
      <c r="H975" s="57">
        <v>8.3896999999999995</v>
      </c>
      <c r="I975" s="57">
        <v>7.8437000000000001</v>
      </c>
      <c r="J975" s="33">
        <f t="shared" si="17"/>
        <v>1.0636999999999999</v>
      </c>
      <c r="K975" s="33">
        <f t="shared" si="18"/>
        <v>0.51770000000000049</v>
      </c>
    </row>
    <row r="976" spans="1:11" x14ac:dyDescent="0.2">
      <c r="A976" s="70">
        <v>44706</v>
      </c>
      <c r="B976" s="57">
        <v>2015</v>
      </c>
      <c r="C976" s="57" t="s">
        <v>176</v>
      </c>
      <c r="D976" s="57" t="s">
        <v>177</v>
      </c>
      <c r="E976" s="57" t="s">
        <v>175</v>
      </c>
      <c r="F976" s="57">
        <f t="shared" si="20"/>
        <v>0</v>
      </c>
      <c r="G976" s="57">
        <v>7.3817000000000004</v>
      </c>
      <c r="H976" s="57">
        <v>7.7256999999999998</v>
      </c>
      <c r="I976" s="57">
        <v>7.5881999999999996</v>
      </c>
      <c r="J976" s="33">
        <f t="shared" si="17"/>
        <v>0.34399999999999942</v>
      </c>
      <c r="K976" s="33">
        <f t="shared" si="18"/>
        <v>0.20649999999999924</v>
      </c>
    </row>
    <row r="977" spans="1:11" x14ac:dyDescent="0.2">
      <c r="A977" s="70">
        <v>44706</v>
      </c>
      <c r="B977" s="57">
        <v>2086</v>
      </c>
      <c r="C977" s="57" t="s">
        <v>176</v>
      </c>
      <c r="D977" s="57" t="s">
        <v>174</v>
      </c>
      <c r="E977" s="57" t="s">
        <v>175</v>
      </c>
      <c r="F977" s="57">
        <f t="shared" si="20"/>
        <v>1</v>
      </c>
      <c r="G977" s="57">
        <v>6.2409999999999997</v>
      </c>
      <c r="H977" s="57">
        <v>6.6078999999999999</v>
      </c>
      <c r="I977" s="57">
        <v>6.4474</v>
      </c>
      <c r="J977" s="33">
        <f t="shared" si="17"/>
        <v>0.36690000000000023</v>
      </c>
      <c r="K977" s="33">
        <f t="shared" si="18"/>
        <v>0.20640000000000036</v>
      </c>
    </row>
    <row r="978" spans="1:11" x14ac:dyDescent="0.2">
      <c r="A978" s="70">
        <v>44706</v>
      </c>
      <c r="B978" s="57">
        <v>2088</v>
      </c>
      <c r="C978" s="57" t="s">
        <v>176</v>
      </c>
      <c r="D978" s="57" t="s">
        <v>177</v>
      </c>
      <c r="E978" s="57" t="s">
        <v>178</v>
      </c>
      <c r="F978" s="57">
        <f t="shared" si="20"/>
        <v>0</v>
      </c>
      <c r="G978" s="57">
        <v>7.3737000000000004</v>
      </c>
      <c r="H978" s="57">
        <v>11.452</v>
      </c>
      <c r="I978" s="57">
        <v>9.4783000000000008</v>
      </c>
      <c r="J978" s="33">
        <f t="shared" si="17"/>
        <v>4.0782999999999996</v>
      </c>
      <c r="K978" s="33">
        <f t="shared" si="18"/>
        <v>2.1046000000000005</v>
      </c>
    </row>
    <row r="979" spans="1:11" x14ac:dyDescent="0.2">
      <c r="A979" s="70">
        <v>44704</v>
      </c>
      <c r="B979" s="57">
        <v>2331</v>
      </c>
      <c r="C979" s="57" t="s">
        <v>173</v>
      </c>
      <c r="D979" s="57" t="s">
        <v>177</v>
      </c>
      <c r="E979" s="57" t="s">
        <v>175</v>
      </c>
      <c r="F979" s="57">
        <f t="shared" si="20"/>
        <v>0</v>
      </c>
      <c r="G979" s="57">
        <v>7.3310000000000004</v>
      </c>
      <c r="H979" s="57">
        <v>7.4206000000000003</v>
      </c>
      <c r="I979" s="57">
        <v>7.3878000000000004</v>
      </c>
      <c r="J979" s="33">
        <f t="shared" si="17"/>
        <v>8.9599999999999902E-2</v>
      </c>
      <c r="K979" s="33">
        <f t="shared" si="18"/>
        <v>5.6799999999999962E-2</v>
      </c>
    </row>
    <row r="980" spans="1:11" x14ac:dyDescent="0.2">
      <c r="A980" s="70">
        <v>44706</v>
      </c>
      <c r="B980" s="57">
        <v>1478</v>
      </c>
      <c r="C980" s="57" t="s">
        <v>176</v>
      </c>
      <c r="D980" s="57" t="s">
        <v>174</v>
      </c>
      <c r="E980" s="57" t="s">
        <v>175</v>
      </c>
      <c r="F980" s="57">
        <f t="shared" si="20"/>
        <v>1</v>
      </c>
      <c r="G980" s="57">
        <v>6.3121</v>
      </c>
      <c r="H980" s="57">
        <v>6.8353000000000002</v>
      </c>
      <c r="I980" s="57">
        <v>6.6398999999999999</v>
      </c>
      <c r="J980" s="33">
        <f t="shared" si="17"/>
        <v>0.52320000000000011</v>
      </c>
      <c r="K980" s="33">
        <f t="shared" si="18"/>
        <v>0.32779999999999987</v>
      </c>
    </row>
    <row r="981" spans="1:11" x14ac:dyDescent="0.2">
      <c r="A981" s="70">
        <v>44704</v>
      </c>
      <c r="B981" s="57">
        <v>2372</v>
      </c>
      <c r="C981" s="57" t="s">
        <v>173</v>
      </c>
      <c r="D981" s="57" t="s">
        <v>177</v>
      </c>
      <c r="E981" s="57" t="s">
        <v>175</v>
      </c>
      <c r="F981" s="57">
        <f t="shared" si="20"/>
        <v>0</v>
      </c>
      <c r="G981" s="57">
        <v>6.2549999999999999</v>
      </c>
      <c r="H981" s="57">
        <v>6.5953999999999997</v>
      </c>
      <c r="I981" s="57">
        <v>6.4290000000000003</v>
      </c>
      <c r="J981" s="33">
        <f t="shared" si="17"/>
        <v>0.34039999999999981</v>
      </c>
      <c r="K981" s="33">
        <f t="shared" si="18"/>
        <v>0.17400000000000038</v>
      </c>
    </row>
    <row r="982" spans="1:11" x14ac:dyDescent="0.2">
      <c r="A982" s="70">
        <v>44704</v>
      </c>
      <c r="B982" s="57">
        <v>2375</v>
      </c>
      <c r="C982" s="57" t="s">
        <v>173</v>
      </c>
      <c r="D982" s="57" t="s">
        <v>174</v>
      </c>
      <c r="E982" s="57" t="s">
        <v>175</v>
      </c>
      <c r="F982" s="57">
        <f t="shared" si="20"/>
        <v>1</v>
      </c>
      <c r="G982" s="57">
        <v>7.2911000000000001</v>
      </c>
      <c r="H982" s="57">
        <v>7.5998000000000001</v>
      </c>
      <c r="I982" s="57">
        <v>7.4726999999999997</v>
      </c>
      <c r="J982" s="33">
        <f t="shared" si="17"/>
        <v>0.30869999999999997</v>
      </c>
      <c r="K982" s="33">
        <f t="shared" si="18"/>
        <v>0.18159999999999954</v>
      </c>
    </row>
    <row r="983" spans="1:11" x14ac:dyDescent="0.2">
      <c r="A983" s="70">
        <v>44706</v>
      </c>
      <c r="B983" s="57">
        <v>2092</v>
      </c>
      <c r="C983" s="57" t="s">
        <v>176</v>
      </c>
      <c r="D983" s="57" t="s">
        <v>177</v>
      </c>
      <c r="E983" s="57" t="s">
        <v>178</v>
      </c>
      <c r="F983" s="57">
        <f t="shared" si="20"/>
        <v>0</v>
      </c>
      <c r="G983" s="57">
        <v>7.3391999999999999</v>
      </c>
      <c r="H983" s="57">
        <v>9.2759</v>
      </c>
      <c r="I983" s="57">
        <v>8.4059000000000008</v>
      </c>
      <c r="J983" s="33">
        <f t="shared" si="17"/>
        <v>1.9367000000000001</v>
      </c>
      <c r="K983" s="33">
        <f t="shared" si="18"/>
        <v>1.0667000000000009</v>
      </c>
    </row>
    <row r="984" spans="1:11" x14ac:dyDescent="0.2">
      <c r="A984" s="70">
        <v>44706</v>
      </c>
      <c r="B984" s="57">
        <v>2092</v>
      </c>
      <c r="C984" s="57" t="s">
        <v>176</v>
      </c>
      <c r="D984" s="57" t="s">
        <v>177</v>
      </c>
      <c r="E984" s="57" t="s">
        <v>175</v>
      </c>
      <c r="F984" s="57">
        <f t="shared" si="20"/>
        <v>0</v>
      </c>
      <c r="G984" s="57">
        <v>6.3215000000000003</v>
      </c>
      <c r="H984" s="57">
        <v>6.3608000000000002</v>
      </c>
      <c r="I984" s="57">
        <v>6.3678999999999997</v>
      </c>
      <c r="J984" s="33">
        <f t="shared" si="17"/>
        <v>3.9299999999999891E-2</v>
      </c>
      <c r="K984" s="33">
        <f t="shared" si="18"/>
        <v>4.6399999999999331E-2</v>
      </c>
    </row>
    <row r="985" spans="1:11" x14ac:dyDescent="0.2">
      <c r="A985" s="70">
        <v>44706</v>
      </c>
      <c r="B985" s="57">
        <v>2086</v>
      </c>
      <c r="C985" s="57" t="s">
        <v>176</v>
      </c>
      <c r="D985" s="57" t="s">
        <v>177</v>
      </c>
      <c r="E985" s="57" t="s">
        <v>178</v>
      </c>
      <c r="F985" s="57">
        <f t="shared" si="20"/>
        <v>0</v>
      </c>
      <c r="G985" s="57">
        <v>7.3150000000000004</v>
      </c>
      <c r="H985" s="57">
        <v>8.0932999999999993</v>
      </c>
      <c r="I985" s="57">
        <v>7.7206000000000001</v>
      </c>
      <c r="J985" s="33">
        <f t="shared" si="17"/>
        <v>0.77829999999999888</v>
      </c>
      <c r="K985" s="33">
        <f t="shared" si="18"/>
        <v>0.40559999999999974</v>
      </c>
    </row>
    <row r="986" spans="1:11" x14ac:dyDescent="0.2">
      <c r="A986" s="70">
        <v>44704</v>
      </c>
      <c r="B986" s="57">
        <v>2360</v>
      </c>
      <c r="C986" s="57" t="s">
        <v>173</v>
      </c>
      <c r="D986" s="57" t="s">
        <v>174</v>
      </c>
      <c r="E986" s="57" t="s">
        <v>175</v>
      </c>
      <c r="F986" s="57">
        <f t="shared" si="20"/>
        <v>1</v>
      </c>
      <c r="G986" s="57">
        <v>6.2563000000000004</v>
      </c>
      <c r="H986" s="57">
        <v>6.4791999999999996</v>
      </c>
      <c r="I986" s="57">
        <v>6.4036999999999997</v>
      </c>
      <c r="J986" s="33">
        <f t="shared" si="17"/>
        <v>0.22289999999999921</v>
      </c>
      <c r="K986" s="33">
        <f t="shared" si="18"/>
        <v>0.14739999999999931</v>
      </c>
    </row>
    <row r="987" spans="1:11" x14ac:dyDescent="0.2">
      <c r="A987" s="70">
        <v>44704</v>
      </c>
      <c r="B987" s="57">
        <v>2381</v>
      </c>
      <c r="C987" s="57" t="s">
        <v>173</v>
      </c>
      <c r="D987" s="57" t="s">
        <v>174</v>
      </c>
      <c r="E987" s="57" t="s">
        <v>175</v>
      </c>
      <c r="F987" s="57">
        <f t="shared" si="20"/>
        <v>1</v>
      </c>
      <c r="G987" s="57">
        <v>7.2896999999999998</v>
      </c>
      <c r="H987" s="57">
        <v>7.4467999999999996</v>
      </c>
      <c r="I987" s="57">
        <v>7.3822999999999999</v>
      </c>
      <c r="J987" s="33">
        <f t="shared" si="17"/>
        <v>0.1570999999999998</v>
      </c>
      <c r="K987" s="33">
        <f t="shared" si="18"/>
        <v>9.2600000000000016E-2</v>
      </c>
    </row>
    <row r="988" spans="1:11" x14ac:dyDescent="0.2">
      <c r="A988" s="70">
        <v>44706</v>
      </c>
      <c r="B988" s="57">
        <v>2006</v>
      </c>
      <c r="C988" s="57" t="s">
        <v>176</v>
      </c>
      <c r="D988" s="57" t="s">
        <v>177</v>
      </c>
      <c r="E988" s="57" t="s">
        <v>178</v>
      </c>
      <c r="F988" s="57">
        <f t="shared" si="20"/>
        <v>0</v>
      </c>
      <c r="G988" s="57">
        <v>7.3570000000000002</v>
      </c>
      <c r="H988" s="57">
        <v>11.5124</v>
      </c>
      <c r="I988" s="57">
        <v>9.5749999999999993</v>
      </c>
      <c r="J988" s="33">
        <f t="shared" si="17"/>
        <v>4.1553999999999993</v>
      </c>
      <c r="K988" s="33">
        <f t="shared" si="18"/>
        <v>2.2179999999999991</v>
      </c>
    </row>
    <row r="989" spans="1:11" x14ac:dyDescent="0.2">
      <c r="A989" s="70">
        <v>44704</v>
      </c>
      <c r="B989" s="57">
        <v>2367</v>
      </c>
      <c r="C989" s="57" t="s">
        <v>173</v>
      </c>
      <c r="D989" s="57" t="s">
        <v>174</v>
      </c>
      <c r="E989" s="57" t="s">
        <v>175</v>
      </c>
      <c r="F989" s="57">
        <f t="shared" si="20"/>
        <v>1</v>
      </c>
      <c r="G989" s="57">
        <v>7.4127999999999998</v>
      </c>
      <c r="H989" s="57">
        <v>7.5781000000000001</v>
      </c>
      <c r="I989" s="57">
        <v>7.5190000000000001</v>
      </c>
      <c r="J989" s="33">
        <f t="shared" si="17"/>
        <v>0.16530000000000022</v>
      </c>
      <c r="K989" s="33">
        <f t="shared" si="18"/>
        <v>0.10620000000000029</v>
      </c>
    </row>
    <row r="990" spans="1:11" x14ac:dyDescent="0.2">
      <c r="A990" s="70">
        <v>44706</v>
      </c>
      <c r="B990" s="57">
        <v>2086</v>
      </c>
      <c r="C990" s="57" t="s">
        <v>176</v>
      </c>
      <c r="D990" s="57" t="s">
        <v>177</v>
      </c>
      <c r="E990" s="57" t="s">
        <v>175</v>
      </c>
      <c r="F990" s="57">
        <f t="shared" si="20"/>
        <v>0</v>
      </c>
      <c r="G990" s="57">
        <v>7.3422999999999998</v>
      </c>
      <c r="H990" s="57">
        <v>7.4779</v>
      </c>
      <c r="I990" s="57">
        <v>7.4108999999999998</v>
      </c>
      <c r="J990" s="33">
        <f t="shared" si="17"/>
        <v>0.13560000000000016</v>
      </c>
      <c r="K990" s="33">
        <f t="shared" si="18"/>
        <v>6.8599999999999994E-2</v>
      </c>
    </row>
    <row r="991" spans="1:11" x14ac:dyDescent="0.2">
      <c r="A991" s="70">
        <v>44706</v>
      </c>
      <c r="B991" s="57">
        <v>2008</v>
      </c>
      <c r="C991" s="57" t="s">
        <v>176</v>
      </c>
      <c r="D991" s="57" t="s">
        <v>177</v>
      </c>
      <c r="E991" s="57" t="s">
        <v>175</v>
      </c>
      <c r="F991" s="57">
        <f t="shared" si="20"/>
        <v>0</v>
      </c>
      <c r="G991" s="57">
        <v>7.2629999999999999</v>
      </c>
      <c r="H991" s="57">
        <v>7.7331000000000003</v>
      </c>
      <c r="I991" s="57">
        <v>7.5118999999999998</v>
      </c>
      <c r="J991" s="33">
        <f t="shared" si="17"/>
        <v>0.47010000000000041</v>
      </c>
      <c r="K991" s="33">
        <f t="shared" si="18"/>
        <v>0.2488999999999999</v>
      </c>
    </row>
    <row r="992" spans="1:11" x14ac:dyDescent="0.2">
      <c r="A992" s="70">
        <v>44706</v>
      </c>
      <c r="B992" s="57">
        <v>2093</v>
      </c>
      <c r="C992" s="57" t="s">
        <v>176</v>
      </c>
      <c r="D992" s="57" t="s">
        <v>174</v>
      </c>
      <c r="E992" s="57" t="s">
        <v>178</v>
      </c>
      <c r="F992" s="57">
        <f t="shared" si="20"/>
        <v>1</v>
      </c>
      <c r="G992" s="57">
        <v>7.3517000000000001</v>
      </c>
      <c r="H992" s="57">
        <v>7.5858999999999996</v>
      </c>
      <c r="I992" s="57">
        <v>7.4885000000000002</v>
      </c>
      <c r="J992" s="33">
        <f t="shared" si="17"/>
        <v>0.23419999999999952</v>
      </c>
      <c r="K992" s="33">
        <f t="shared" si="18"/>
        <v>0.13680000000000003</v>
      </c>
    </row>
    <row r="993" spans="1:11" x14ac:dyDescent="0.2">
      <c r="A993" s="70">
        <v>44704</v>
      </c>
      <c r="B993" s="57">
        <v>2370</v>
      </c>
      <c r="C993" s="57" t="s">
        <v>173</v>
      </c>
      <c r="D993" s="57" t="s">
        <v>174</v>
      </c>
      <c r="E993" s="57" t="s">
        <v>175</v>
      </c>
      <c r="F993" s="57">
        <f t="shared" si="20"/>
        <v>1</v>
      </c>
      <c r="G993" s="57">
        <v>7.3331</v>
      </c>
      <c r="H993" s="57">
        <v>7.9116</v>
      </c>
      <c r="I993" s="57">
        <v>7.6768000000000001</v>
      </c>
      <c r="J993" s="33">
        <f t="shared" si="17"/>
        <v>0.57850000000000001</v>
      </c>
      <c r="K993" s="33">
        <f t="shared" si="18"/>
        <v>0.34370000000000012</v>
      </c>
    </row>
    <row r="994" spans="1:11" x14ac:dyDescent="0.2">
      <c r="A994" s="70">
        <v>44706</v>
      </c>
      <c r="B994" s="57">
        <v>2092</v>
      </c>
      <c r="C994" s="57" t="s">
        <v>176</v>
      </c>
      <c r="D994" s="57" t="s">
        <v>174</v>
      </c>
      <c r="E994" s="57" t="s">
        <v>178</v>
      </c>
      <c r="F994" s="57">
        <f t="shared" si="20"/>
        <v>1</v>
      </c>
      <c r="G994" s="57">
        <v>7.4649000000000001</v>
      </c>
      <c r="H994" s="57">
        <v>9.5079999999999991</v>
      </c>
      <c r="I994" s="57">
        <v>8.7147000000000006</v>
      </c>
      <c r="J994" s="33">
        <f t="shared" si="17"/>
        <v>2.043099999999999</v>
      </c>
      <c r="K994" s="33">
        <f t="shared" si="18"/>
        <v>1.2498000000000005</v>
      </c>
    </row>
    <row r="995" spans="1:11" x14ac:dyDescent="0.2">
      <c r="A995" s="70">
        <v>44706</v>
      </c>
      <c r="B995" s="57">
        <v>2093</v>
      </c>
      <c r="C995" s="57" t="s">
        <v>176</v>
      </c>
      <c r="D995" s="57" t="s">
        <v>174</v>
      </c>
      <c r="E995" s="57" t="s">
        <v>175</v>
      </c>
      <c r="F995" s="57">
        <f t="shared" si="20"/>
        <v>1</v>
      </c>
      <c r="G995" s="57">
        <v>7.3390000000000004</v>
      </c>
      <c r="H995" s="57">
        <v>7.8223000000000003</v>
      </c>
      <c r="I995" s="57">
        <v>7.6147999999999998</v>
      </c>
      <c r="J995" s="33">
        <f t="shared" si="17"/>
        <v>0.48329999999999984</v>
      </c>
      <c r="K995" s="33">
        <f t="shared" si="18"/>
        <v>0.27579999999999938</v>
      </c>
    </row>
    <row r="996" spans="1:11" x14ac:dyDescent="0.2">
      <c r="A996" s="70">
        <v>44704</v>
      </c>
      <c r="B996" s="57">
        <v>2381</v>
      </c>
      <c r="C996" s="57" t="s">
        <v>173</v>
      </c>
      <c r="D996" s="57" t="s">
        <v>177</v>
      </c>
      <c r="E996" s="57" t="s">
        <v>175</v>
      </c>
      <c r="F996" s="57">
        <f t="shared" si="20"/>
        <v>0</v>
      </c>
      <c r="G996" s="57">
        <v>6.2877999999999998</v>
      </c>
      <c r="H996" s="57">
        <v>6.4828000000000001</v>
      </c>
      <c r="I996" s="57">
        <v>6.3977000000000004</v>
      </c>
      <c r="J996" s="33">
        <f t="shared" si="17"/>
        <v>0.19500000000000028</v>
      </c>
      <c r="K996" s="33">
        <f t="shared" si="18"/>
        <v>0.10990000000000055</v>
      </c>
    </row>
    <row r="997" spans="1:11" x14ac:dyDescent="0.2">
      <c r="A997" s="70">
        <v>44704</v>
      </c>
      <c r="B997" s="57">
        <v>2354</v>
      </c>
      <c r="C997" s="57" t="s">
        <v>173</v>
      </c>
      <c r="D997" s="57" t="s">
        <v>174</v>
      </c>
      <c r="E997" s="57" t="s">
        <v>175</v>
      </c>
      <c r="F997" s="57">
        <f t="shared" si="20"/>
        <v>1</v>
      </c>
      <c r="G997" s="57">
        <v>7.3373999999999997</v>
      </c>
      <c r="H997" s="57">
        <v>7.6201999999999996</v>
      </c>
      <c r="I997" s="57">
        <v>7.5094000000000003</v>
      </c>
      <c r="J997" s="33">
        <f t="shared" si="17"/>
        <v>0.28279999999999994</v>
      </c>
      <c r="K997" s="33">
        <f t="shared" si="18"/>
        <v>0.1720000000000006</v>
      </c>
    </row>
    <row r="998" spans="1:11" x14ac:dyDescent="0.2">
      <c r="A998" s="70">
        <v>44706</v>
      </c>
      <c r="B998" s="57">
        <v>2091</v>
      </c>
      <c r="C998" s="57" t="s">
        <v>176</v>
      </c>
      <c r="D998" s="57" t="s">
        <v>174</v>
      </c>
      <c r="E998" s="57" t="s">
        <v>175</v>
      </c>
      <c r="F998" s="57">
        <f t="shared" si="20"/>
        <v>1</v>
      </c>
      <c r="G998" s="57">
        <v>6.2477</v>
      </c>
      <c r="H998" s="57">
        <v>7.0457000000000001</v>
      </c>
      <c r="I998" s="57">
        <v>6.6973000000000003</v>
      </c>
      <c r="J998" s="33">
        <f t="shared" si="17"/>
        <v>0.79800000000000004</v>
      </c>
      <c r="K998" s="33">
        <f t="shared" si="18"/>
        <v>0.44960000000000022</v>
      </c>
    </row>
    <row r="999" spans="1:11" x14ac:dyDescent="0.2">
      <c r="A999" s="70">
        <v>44704</v>
      </c>
      <c r="B999" s="57">
        <v>2347</v>
      </c>
      <c r="C999" s="57" t="s">
        <v>173</v>
      </c>
      <c r="D999" s="57" t="s">
        <v>177</v>
      </c>
      <c r="E999" s="57" t="s">
        <v>175</v>
      </c>
      <c r="F999" s="57">
        <f t="shared" si="20"/>
        <v>0</v>
      </c>
      <c r="G999" s="57">
        <v>7.3422999999999998</v>
      </c>
      <c r="H999" s="57">
        <v>7.5574000000000003</v>
      </c>
      <c r="I999" s="57">
        <v>7.4611000000000001</v>
      </c>
      <c r="J999" s="33">
        <f t="shared" si="17"/>
        <v>0.21510000000000051</v>
      </c>
      <c r="K999" s="33">
        <f t="shared" si="18"/>
        <v>0.11880000000000024</v>
      </c>
    </row>
    <row r="1000" spans="1:11" x14ac:dyDescent="0.2">
      <c r="A1000" s="70">
        <v>44706</v>
      </c>
      <c r="B1000" s="57">
        <v>2087</v>
      </c>
      <c r="C1000" s="57" t="s">
        <v>176</v>
      </c>
      <c r="D1000" s="57" t="s">
        <v>177</v>
      </c>
      <c r="E1000" s="57" t="s">
        <v>178</v>
      </c>
      <c r="F1000" s="57">
        <f t="shared" si="20"/>
        <v>0</v>
      </c>
      <c r="G1000" s="57">
        <v>7.4154</v>
      </c>
      <c r="H1000" s="57">
        <v>10.7798</v>
      </c>
      <c r="I1000" s="57">
        <v>9.2088000000000001</v>
      </c>
      <c r="J1000" s="33">
        <f t="shared" si="17"/>
        <v>3.3643999999999998</v>
      </c>
      <c r="K1000" s="33">
        <f t="shared" si="18"/>
        <v>1.7934000000000001</v>
      </c>
    </row>
    <row r="1001" spans="1:11" x14ac:dyDescent="0.2">
      <c r="A1001" s="70">
        <v>44704</v>
      </c>
      <c r="B1001" s="57">
        <v>2379</v>
      </c>
      <c r="C1001" s="57" t="s">
        <v>173</v>
      </c>
      <c r="D1001" s="57" t="s">
        <v>177</v>
      </c>
      <c r="E1001" s="57" t="s">
        <v>175</v>
      </c>
      <c r="F1001" s="57">
        <f t="shared" si="20"/>
        <v>0</v>
      </c>
      <c r="G1001" s="57">
        <v>7.2214999999999998</v>
      </c>
      <c r="H1001" s="57">
        <v>7.2755000000000001</v>
      </c>
      <c r="I1001" s="57">
        <v>7.2573999999999996</v>
      </c>
      <c r="J1001" s="33">
        <f t="shared" si="17"/>
        <v>5.400000000000027E-2</v>
      </c>
      <c r="K1001" s="33">
        <f t="shared" si="18"/>
        <v>3.5899999999999821E-2</v>
      </c>
    </row>
    <row r="1002" spans="1:11" x14ac:dyDescent="0.2">
      <c r="A1002" s="70">
        <v>44706</v>
      </c>
      <c r="B1002" s="57">
        <v>2091</v>
      </c>
      <c r="C1002" s="57" t="s">
        <v>176</v>
      </c>
      <c r="D1002" s="57" t="s">
        <v>177</v>
      </c>
      <c r="E1002" s="57" t="s">
        <v>175</v>
      </c>
      <c r="F1002" s="57">
        <f t="shared" si="20"/>
        <v>0</v>
      </c>
      <c r="G1002" s="57">
        <v>7.3011999999999997</v>
      </c>
      <c r="H1002" s="57">
        <v>7.4423000000000004</v>
      </c>
      <c r="I1002" s="57">
        <v>7.3529999999999998</v>
      </c>
      <c r="J1002" s="33">
        <f t="shared" si="17"/>
        <v>0.14110000000000067</v>
      </c>
      <c r="K1002" s="33">
        <f t="shared" si="18"/>
        <v>5.1800000000000068E-2</v>
      </c>
    </row>
    <row r="1003" spans="1:11" x14ac:dyDescent="0.2">
      <c r="A1003" s="70">
        <v>44706</v>
      </c>
      <c r="B1003" s="57">
        <v>2012</v>
      </c>
      <c r="C1003" s="57" t="s">
        <v>176</v>
      </c>
      <c r="D1003" s="57" t="s">
        <v>174</v>
      </c>
      <c r="E1003" s="57" t="s">
        <v>175</v>
      </c>
      <c r="F1003" s="57">
        <f t="shared" si="20"/>
        <v>1</v>
      </c>
      <c r="G1003" s="57">
        <v>7.3095999999999997</v>
      </c>
      <c r="H1003" s="57">
        <v>7.4006999999999996</v>
      </c>
      <c r="I1003" s="57">
        <v>7.3754999999999997</v>
      </c>
      <c r="J1003" s="33">
        <f t="shared" si="17"/>
        <v>9.1099999999999959E-2</v>
      </c>
      <c r="K1003" s="33">
        <f t="shared" si="18"/>
        <v>6.590000000000007E-2</v>
      </c>
    </row>
    <row r="1004" spans="1:11" x14ac:dyDescent="0.2">
      <c r="A1004" s="70">
        <v>44706</v>
      </c>
      <c r="B1004" s="57">
        <v>2007</v>
      </c>
      <c r="C1004" s="57" t="s">
        <v>176</v>
      </c>
      <c r="D1004" s="57" t="s">
        <v>177</v>
      </c>
      <c r="E1004" s="57" t="s">
        <v>178</v>
      </c>
      <c r="F1004" s="57">
        <f t="shared" si="20"/>
        <v>0</v>
      </c>
      <c r="G1004" s="57">
        <v>7.2739000000000003</v>
      </c>
      <c r="H1004" s="57">
        <v>9.2162000000000006</v>
      </c>
      <c r="I1004" s="57">
        <v>8.3361999999999998</v>
      </c>
      <c r="J1004" s="33">
        <f t="shared" si="17"/>
        <v>1.9423000000000004</v>
      </c>
      <c r="K1004" s="33">
        <f t="shared" si="18"/>
        <v>1.0622999999999996</v>
      </c>
    </row>
    <row r="1005" spans="1:11" x14ac:dyDescent="0.2">
      <c r="A1005" s="70">
        <v>44704</v>
      </c>
      <c r="B1005" s="57">
        <v>2372</v>
      </c>
      <c r="C1005" s="57" t="s">
        <v>173</v>
      </c>
      <c r="D1005" s="57" t="s">
        <v>174</v>
      </c>
      <c r="E1005" s="57" t="s">
        <v>175</v>
      </c>
      <c r="F1005" s="57">
        <f t="shared" si="20"/>
        <v>1</v>
      </c>
      <c r="G1005" s="57">
        <v>7.3042999999999996</v>
      </c>
      <c r="H1005" s="57">
        <v>7.8715999999999999</v>
      </c>
      <c r="I1005" s="57">
        <v>7.6590999999999996</v>
      </c>
      <c r="J1005" s="33">
        <f t="shared" si="17"/>
        <v>0.56730000000000036</v>
      </c>
      <c r="K1005" s="33">
        <f t="shared" si="18"/>
        <v>0.3548</v>
      </c>
    </row>
    <row r="1006" spans="1:11" x14ac:dyDescent="0.2">
      <c r="A1006" s="70">
        <v>44704</v>
      </c>
      <c r="B1006" s="57">
        <v>2301</v>
      </c>
      <c r="C1006" s="57" t="s">
        <v>173</v>
      </c>
      <c r="D1006" s="57" t="s">
        <v>174</v>
      </c>
      <c r="E1006" s="57" t="s">
        <v>175</v>
      </c>
      <c r="F1006" s="57">
        <f t="shared" si="20"/>
        <v>1</v>
      </c>
      <c r="G1006" s="57">
        <v>7.2911000000000001</v>
      </c>
      <c r="H1006" s="57">
        <v>7.5316999999999998</v>
      </c>
      <c r="I1006" s="57">
        <v>7.4382999999999999</v>
      </c>
      <c r="J1006" s="33">
        <f t="shared" si="17"/>
        <v>0.2405999999999997</v>
      </c>
      <c r="K1006" s="33">
        <f t="shared" si="18"/>
        <v>0.14719999999999978</v>
      </c>
    </row>
    <row r="1007" spans="1:11" x14ac:dyDescent="0.2">
      <c r="A1007" s="70">
        <v>44704</v>
      </c>
      <c r="B1007" s="57">
        <v>2365</v>
      </c>
      <c r="C1007" s="57" t="s">
        <v>173</v>
      </c>
      <c r="D1007" s="57" t="s">
        <v>177</v>
      </c>
      <c r="E1007" s="57" t="s">
        <v>175</v>
      </c>
      <c r="F1007" s="57">
        <f t="shared" si="20"/>
        <v>0</v>
      </c>
      <c r="G1007" s="57">
        <v>7.2416999999999998</v>
      </c>
      <c r="H1007" s="57">
        <v>7.3414000000000001</v>
      </c>
      <c r="I1007" s="57">
        <v>7.3026999999999997</v>
      </c>
      <c r="J1007" s="33">
        <f t="shared" si="17"/>
        <v>9.9700000000000344E-2</v>
      </c>
      <c r="K1007" s="33">
        <f t="shared" si="18"/>
        <v>6.0999999999999943E-2</v>
      </c>
    </row>
    <row r="1008" spans="1:11" x14ac:dyDescent="0.2">
      <c r="A1008" s="70">
        <v>44704</v>
      </c>
      <c r="B1008" s="57">
        <v>2360</v>
      </c>
      <c r="C1008" s="57" t="s">
        <v>173</v>
      </c>
      <c r="D1008" s="57" t="s">
        <v>177</v>
      </c>
      <c r="E1008" s="57" t="s">
        <v>175</v>
      </c>
      <c r="F1008" s="57">
        <f t="shared" si="20"/>
        <v>0</v>
      </c>
      <c r="G1008" s="57">
        <v>7.3106999999999998</v>
      </c>
      <c r="H1008" s="57">
        <v>7.5225</v>
      </c>
      <c r="I1008" s="57">
        <v>7.4391999999999996</v>
      </c>
      <c r="J1008" s="33">
        <f t="shared" si="17"/>
        <v>0.21180000000000021</v>
      </c>
      <c r="K1008" s="33">
        <f t="shared" si="18"/>
        <v>0.12849999999999984</v>
      </c>
    </row>
    <row r="1009" spans="1:12" x14ac:dyDescent="0.2">
      <c r="A1009" s="70">
        <v>44704</v>
      </c>
      <c r="B1009" s="57">
        <v>2347</v>
      </c>
      <c r="C1009" s="57" t="s">
        <v>173</v>
      </c>
      <c r="D1009" s="57" t="s">
        <v>174</v>
      </c>
      <c r="E1009" s="57" t="s">
        <v>175</v>
      </c>
      <c r="F1009" s="57">
        <f t="shared" si="20"/>
        <v>1</v>
      </c>
      <c r="G1009" s="57">
        <v>7.2358000000000002</v>
      </c>
      <c r="H1009" s="57">
        <v>7.7622999999999998</v>
      </c>
      <c r="I1009" s="57">
        <v>7.5519999999999996</v>
      </c>
      <c r="J1009" s="33">
        <f t="shared" si="17"/>
        <v>0.52649999999999952</v>
      </c>
      <c r="K1009" s="33">
        <f t="shared" si="18"/>
        <v>0.31619999999999937</v>
      </c>
    </row>
    <row r="1010" spans="1:12" x14ac:dyDescent="0.2">
      <c r="A1010" s="70">
        <v>44706</v>
      </c>
      <c r="B1010" s="57">
        <v>2089</v>
      </c>
      <c r="C1010" s="57" t="s">
        <v>176</v>
      </c>
      <c r="D1010" s="57" t="s">
        <v>174</v>
      </c>
      <c r="E1010" s="57" t="s">
        <v>178</v>
      </c>
      <c r="F1010" s="57">
        <f t="shared" si="20"/>
        <v>1</v>
      </c>
      <c r="G1010" s="57">
        <v>7.2660999999999998</v>
      </c>
      <c r="H1010" s="57">
        <v>9.0972000000000008</v>
      </c>
      <c r="I1010" s="57">
        <v>8.3450000000000006</v>
      </c>
      <c r="J1010" s="33">
        <f t="shared" si="17"/>
        <v>1.8311000000000011</v>
      </c>
      <c r="K1010" s="33">
        <f t="shared" si="18"/>
        <v>1.0789000000000009</v>
      </c>
    </row>
    <row r="1011" spans="1:12" x14ac:dyDescent="0.2">
      <c r="A1011" s="70">
        <v>44706</v>
      </c>
      <c r="B1011" s="57">
        <v>2093</v>
      </c>
      <c r="C1011" s="57" t="s">
        <v>176</v>
      </c>
      <c r="D1011" s="57" t="s">
        <v>177</v>
      </c>
      <c r="E1011" s="57" t="s">
        <v>175</v>
      </c>
      <c r="F1011" s="57">
        <f t="shared" si="20"/>
        <v>0</v>
      </c>
      <c r="G1011" s="57">
        <v>6.242</v>
      </c>
      <c r="H1011" s="57">
        <v>6.3144</v>
      </c>
      <c r="I1011" s="57">
        <v>6.2785000000000002</v>
      </c>
      <c r="J1011" s="33">
        <f t="shared" si="17"/>
        <v>7.240000000000002E-2</v>
      </c>
      <c r="K1011" s="33">
        <f t="shared" si="18"/>
        <v>3.6500000000000199E-2</v>
      </c>
    </row>
    <row r="1012" spans="1:12" x14ac:dyDescent="0.2">
      <c r="A1012" s="70">
        <v>44706</v>
      </c>
      <c r="B1012" s="57">
        <v>2008</v>
      </c>
      <c r="C1012" s="57" t="s">
        <v>176</v>
      </c>
      <c r="D1012" s="57" t="s">
        <v>174</v>
      </c>
      <c r="E1012" s="57" t="s">
        <v>175</v>
      </c>
      <c r="F1012" s="57">
        <f t="shared" si="20"/>
        <v>1</v>
      </c>
      <c r="G1012" s="57">
        <v>7.4001999999999999</v>
      </c>
      <c r="H1012" s="57">
        <v>7.8662000000000001</v>
      </c>
      <c r="I1012" s="57">
        <v>7.7226999999999997</v>
      </c>
      <c r="J1012" s="33">
        <f t="shared" si="17"/>
        <v>0.46600000000000019</v>
      </c>
      <c r="K1012" s="33">
        <f t="shared" si="18"/>
        <v>0.32249999999999979</v>
      </c>
    </row>
    <row r="1013" spans="1:12" x14ac:dyDescent="0.2">
      <c r="A1013" s="70">
        <v>44706</v>
      </c>
      <c r="B1013" s="57">
        <v>2008</v>
      </c>
      <c r="C1013" s="57" t="s">
        <v>176</v>
      </c>
      <c r="D1013" s="57" t="s">
        <v>177</v>
      </c>
      <c r="E1013" s="57" t="s">
        <v>178</v>
      </c>
      <c r="F1013" s="57">
        <f t="shared" si="20"/>
        <v>0</v>
      </c>
      <c r="G1013" s="57">
        <v>7.3322000000000003</v>
      </c>
      <c r="H1013" s="57">
        <v>10.364100000000001</v>
      </c>
      <c r="I1013" s="57">
        <v>9.1136999999999997</v>
      </c>
      <c r="J1013" s="33">
        <f t="shared" si="17"/>
        <v>3.0319000000000003</v>
      </c>
      <c r="K1013" s="33">
        <f t="shared" si="18"/>
        <v>1.7814999999999994</v>
      </c>
    </row>
    <row r="1014" spans="1:12" x14ac:dyDescent="0.2">
      <c r="A1014" s="70">
        <v>44704</v>
      </c>
      <c r="B1014" s="57">
        <v>2345</v>
      </c>
      <c r="C1014" s="57" t="s">
        <v>173</v>
      </c>
      <c r="D1014" s="57" t="s">
        <v>177</v>
      </c>
      <c r="E1014" s="57" t="s">
        <v>175</v>
      </c>
      <c r="F1014" s="57">
        <f t="shared" si="20"/>
        <v>0</v>
      </c>
      <c r="G1014" s="57">
        <v>6.3033999999999999</v>
      </c>
      <c r="H1014" s="57">
        <v>6.3216000000000001</v>
      </c>
      <c r="I1014" s="57">
        <v>6.3113999999999999</v>
      </c>
      <c r="J1014" s="33">
        <f t="shared" si="17"/>
        <v>1.8200000000000216E-2</v>
      </c>
      <c r="K1014" s="33">
        <f t="shared" si="18"/>
        <v>8.0000000000000071E-3</v>
      </c>
    </row>
    <row r="1015" spans="1:12" x14ac:dyDescent="0.2">
      <c r="A1015" s="70">
        <v>44704</v>
      </c>
      <c r="B1015" s="57">
        <v>2379</v>
      </c>
      <c r="C1015" s="57" t="s">
        <v>173</v>
      </c>
      <c r="D1015" s="57" t="s">
        <v>174</v>
      </c>
      <c r="E1015" s="57" t="s">
        <v>175</v>
      </c>
      <c r="F1015" s="57">
        <f t="shared" si="20"/>
        <v>1</v>
      </c>
      <c r="G1015" s="57">
        <v>7.3907999999999996</v>
      </c>
      <c r="H1015" s="57">
        <v>7.6097999999999999</v>
      </c>
      <c r="I1015" s="57">
        <v>7.5285000000000002</v>
      </c>
      <c r="J1015" s="33">
        <f t="shared" si="17"/>
        <v>0.21900000000000031</v>
      </c>
      <c r="K1015" s="33">
        <f t="shared" si="18"/>
        <v>0.1377000000000006</v>
      </c>
    </row>
    <row r="1016" spans="1:12" x14ac:dyDescent="0.2">
      <c r="A1016" s="70">
        <v>44706</v>
      </c>
      <c r="B1016" s="57">
        <v>2015</v>
      </c>
      <c r="C1016" s="57" t="s">
        <v>176</v>
      </c>
      <c r="D1016" s="57" t="s">
        <v>177</v>
      </c>
      <c r="E1016" s="57" t="s">
        <v>178</v>
      </c>
      <c r="F1016" s="57">
        <f t="shared" si="20"/>
        <v>0</v>
      </c>
      <c r="G1016" s="57">
        <v>7.2499000000000002</v>
      </c>
      <c r="H1016" s="57">
        <v>10.189399999999999</v>
      </c>
      <c r="I1016" s="57">
        <v>8.8177000000000003</v>
      </c>
      <c r="J1016" s="33">
        <f t="shared" si="17"/>
        <v>2.9394999999999989</v>
      </c>
      <c r="K1016" s="33">
        <f t="shared" si="18"/>
        <v>1.5678000000000001</v>
      </c>
    </row>
    <row r="1017" spans="1:12" x14ac:dyDescent="0.2">
      <c r="A1017" s="70">
        <v>44706</v>
      </c>
      <c r="B1017" s="57">
        <v>1478</v>
      </c>
      <c r="C1017" s="57" t="s">
        <v>176</v>
      </c>
      <c r="D1017" s="57" t="s">
        <v>177</v>
      </c>
      <c r="E1017" s="57" t="s">
        <v>175</v>
      </c>
      <c r="F1017" s="57">
        <f t="shared" si="20"/>
        <v>0</v>
      </c>
      <c r="G1017" s="57">
        <v>7.3216000000000001</v>
      </c>
      <c r="H1017" s="57">
        <v>7.5727000000000002</v>
      </c>
      <c r="I1017" s="57">
        <v>7.4466000000000001</v>
      </c>
      <c r="J1017" s="33">
        <f t="shared" si="17"/>
        <v>0.2511000000000001</v>
      </c>
      <c r="K1017" s="33">
        <f t="shared" si="18"/>
        <v>0.125</v>
      </c>
    </row>
    <row r="1018" spans="1:12" x14ac:dyDescent="0.2">
      <c r="A1018" s="70">
        <v>44704</v>
      </c>
      <c r="B1018" s="57">
        <v>2367</v>
      </c>
      <c r="C1018" s="57" t="s">
        <v>173</v>
      </c>
      <c r="D1018" s="57" t="s">
        <v>177</v>
      </c>
      <c r="E1018" s="57" t="s">
        <v>175</v>
      </c>
      <c r="F1018" s="57">
        <f t="shared" si="20"/>
        <v>0</v>
      </c>
      <c r="G1018" s="57">
        <v>7.2511000000000001</v>
      </c>
      <c r="H1018" s="57">
        <v>7.2907000000000002</v>
      </c>
      <c r="I1018" s="57">
        <v>7.2775999999999996</v>
      </c>
      <c r="J1018" s="33">
        <f t="shared" si="17"/>
        <v>3.960000000000008E-2</v>
      </c>
      <c r="K1018" s="33">
        <f t="shared" si="18"/>
        <v>2.6499999999999524E-2</v>
      </c>
    </row>
    <row r="1019" spans="1:12" x14ac:dyDescent="0.2">
      <c r="A1019" s="70">
        <v>44706</v>
      </c>
      <c r="B1019" s="57">
        <v>2004</v>
      </c>
      <c r="C1019" s="57" t="s">
        <v>176</v>
      </c>
      <c r="D1019" s="57" t="s">
        <v>177</v>
      </c>
      <c r="E1019" s="57" t="s">
        <v>178</v>
      </c>
      <c r="F1019" s="57">
        <f t="shared" si="20"/>
        <v>0</v>
      </c>
      <c r="G1019" s="57">
        <v>7.3666</v>
      </c>
      <c r="H1019" s="57">
        <v>9.2744</v>
      </c>
      <c r="I1019" s="57">
        <v>8.4331999999999994</v>
      </c>
      <c r="J1019" s="33">
        <f t="shared" si="17"/>
        <v>1.9077999999999999</v>
      </c>
      <c r="K1019" s="33">
        <f t="shared" si="18"/>
        <v>1.0665999999999993</v>
      </c>
    </row>
    <row r="1020" spans="1:12" x14ac:dyDescent="0.2">
      <c r="A1020" s="70">
        <v>44712</v>
      </c>
      <c r="B1020" s="57" t="s">
        <v>181</v>
      </c>
      <c r="C1020" s="57" t="s">
        <v>176</v>
      </c>
      <c r="D1020" s="57" t="s">
        <v>177</v>
      </c>
      <c r="E1020" s="57" t="s">
        <v>175</v>
      </c>
      <c r="F1020" s="57">
        <f t="shared" si="20"/>
        <v>0</v>
      </c>
      <c r="G1020" s="57">
        <v>26.122</v>
      </c>
      <c r="H1020" s="57">
        <v>27.281500000000001</v>
      </c>
      <c r="I1020" s="57">
        <v>26.409500000000001</v>
      </c>
      <c r="J1020" s="33">
        <f t="shared" si="17"/>
        <v>1.1595000000000013</v>
      </c>
      <c r="K1020" s="33">
        <f t="shared" si="18"/>
        <v>0.28750000000000142</v>
      </c>
      <c r="L1020" s="57">
        <v>2.1</v>
      </c>
    </row>
    <row r="1021" spans="1:12" x14ac:dyDescent="0.2">
      <c r="A1021" s="70">
        <v>44712</v>
      </c>
      <c r="B1021" s="57" t="s">
        <v>181</v>
      </c>
      <c r="C1021" s="57" t="s">
        <v>176</v>
      </c>
      <c r="D1021" s="57" t="s">
        <v>177</v>
      </c>
      <c r="E1021" s="57" t="s">
        <v>175</v>
      </c>
      <c r="F1021" s="57">
        <f t="shared" si="20"/>
        <v>0</v>
      </c>
      <c r="G1021" s="57">
        <v>26.0886</v>
      </c>
      <c r="H1021" s="57">
        <v>27.661300000000001</v>
      </c>
      <c r="I1021" s="57">
        <v>26.458400000000001</v>
      </c>
      <c r="J1021" s="33">
        <f t="shared" si="17"/>
        <v>1.5727000000000011</v>
      </c>
      <c r="K1021" s="33">
        <f t="shared" si="18"/>
        <v>0.36980000000000146</v>
      </c>
      <c r="L1021" s="57">
        <v>2.2000000000000002</v>
      </c>
    </row>
    <row r="1022" spans="1:12" x14ac:dyDescent="0.2">
      <c r="A1022" s="70">
        <v>44698</v>
      </c>
      <c r="B1022" s="57" t="s">
        <v>181</v>
      </c>
      <c r="C1022" s="57" t="s">
        <v>176</v>
      </c>
      <c r="D1022" s="57" t="s">
        <v>177</v>
      </c>
      <c r="E1022" s="57" t="s">
        <v>178</v>
      </c>
      <c r="F1022" s="57">
        <f t="shared" si="20"/>
        <v>0</v>
      </c>
      <c r="G1022" s="57">
        <v>68.104600000000005</v>
      </c>
      <c r="H1022" s="57">
        <v>75.495500000000007</v>
      </c>
      <c r="I1022" s="57">
        <v>70.048400000000001</v>
      </c>
      <c r="J1022" s="33">
        <f t="shared" ref="J1022:J1276" si="21">H1022-G1022</f>
        <v>7.390900000000002</v>
      </c>
      <c r="K1022" s="33">
        <f t="shared" ref="K1022:K1276" si="22">I1022-G1022</f>
        <v>1.943799999999996</v>
      </c>
      <c r="L1022" s="57">
        <v>5</v>
      </c>
    </row>
    <row r="1023" spans="1:12" x14ac:dyDescent="0.2">
      <c r="A1023" s="70">
        <v>44712</v>
      </c>
      <c r="B1023" s="57" t="s">
        <v>182</v>
      </c>
      <c r="C1023" s="57" t="s">
        <v>176</v>
      </c>
      <c r="D1023" s="57" t="s">
        <v>177</v>
      </c>
      <c r="E1023" s="57" t="s">
        <v>175</v>
      </c>
      <c r="F1023" s="57">
        <f t="shared" si="20"/>
        <v>0</v>
      </c>
      <c r="G1023" s="57">
        <v>25.834</v>
      </c>
      <c r="H1023" s="57">
        <v>26.0883</v>
      </c>
      <c r="I1023" s="57">
        <v>26.070499999999999</v>
      </c>
      <c r="J1023" s="33">
        <f t="shared" si="21"/>
        <v>0.25430000000000064</v>
      </c>
      <c r="K1023" s="33">
        <f t="shared" si="22"/>
        <v>0.23649999999999949</v>
      </c>
      <c r="L1023" s="57">
        <v>4</v>
      </c>
    </row>
    <row r="1024" spans="1:12" x14ac:dyDescent="0.2">
      <c r="A1024" s="70">
        <v>44698</v>
      </c>
      <c r="B1024" s="57" t="s">
        <v>182</v>
      </c>
      <c r="C1024" s="57" t="s">
        <v>176</v>
      </c>
      <c r="D1024" s="57" t="s">
        <v>177</v>
      </c>
      <c r="E1024" s="57" t="s">
        <v>178</v>
      </c>
      <c r="F1024" s="57">
        <f t="shared" si="20"/>
        <v>0</v>
      </c>
      <c r="G1024" s="57">
        <v>67.418300000000002</v>
      </c>
      <c r="H1024" s="57">
        <v>71.037700000000001</v>
      </c>
      <c r="I1024" s="57">
        <v>68.933400000000006</v>
      </c>
      <c r="J1024" s="33">
        <f t="shared" si="21"/>
        <v>3.6193999999999988</v>
      </c>
      <c r="K1024" s="33">
        <f t="shared" si="22"/>
        <v>1.5151000000000039</v>
      </c>
      <c r="L1024" s="57">
        <v>3</v>
      </c>
    </row>
    <row r="1025" spans="1:12" x14ac:dyDescent="0.2">
      <c r="A1025" s="70">
        <v>44706</v>
      </c>
      <c r="B1025" s="57">
        <v>2091</v>
      </c>
      <c r="C1025" s="57" t="s">
        <v>176</v>
      </c>
      <c r="D1025" s="57" t="s">
        <v>174</v>
      </c>
      <c r="E1025" s="57" t="s">
        <v>178</v>
      </c>
      <c r="F1025" s="57">
        <f t="shared" si="20"/>
        <v>1</v>
      </c>
      <c r="G1025" s="57">
        <v>7.2763999999999998</v>
      </c>
      <c r="H1025" s="57">
        <v>9.5427</v>
      </c>
      <c r="I1025" s="57">
        <v>8.6105999999999998</v>
      </c>
      <c r="J1025" s="33">
        <f t="shared" si="21"/>
        <v>2.2663000000000002</v>
      </c>
      <c r="K1025" s="33">
        <f t="shared" si="22"/>
        <v>1.3342000000000001</v>
      </c>
    </row>
    <row r="1026" spans="1:12" x14ac:dyDescent="0.2">
      <c r="A1026" s="70">
        <v>44691</v>
      </c>
      <c r="B1026" s="57" t="s">
        <v>181</v>
      </c>
      <c r="C1026" s="57" t="s">
        <v>176</v>
      </c>
      <c r="D1026" s="57" t="s">
        <v>177</v>
      </c>
      <c r="E1026" s="57" t="s">
        <v>178</v>
      </c>
      <c r="F1026" s="57">
        <f t="shared" si="20"/>
        <v>0</v>
      </c>
      <c r="G1026" s="57">
        <v>68.409400000000005</v>
      </c>
      <c r="H1026" s="57">
        <v>75.141599999999997</v>
      </c>
      <c r="I1026" s="57">
        <v>70.493899999999996</v>
      </c>
      <c r="J1026" s="33">
        <f t="shared" si="21"/>
        <v>6.7321999999999917</v>
      </c>
      <c r="K1026" s="33">
        <f t="shared" si="22"/>
        <v>2.0844999999999914</v>
      </c>
      <c r="L1026" s="57">
        <v>5</v>
      </c>
    </row>
    <row r="1027" spans="1:12" x14ac:dyDescent="0.2">
      <c r="A1027" s="70">
        <v>44691</v>
      </c>
      <c r="B1027" s="57" t="s">
        <v>142</v>
      </c>
      <c r="C1027" s="57" t="s">
        <v>176</v>
      </c>
      <c r="D1027" s="57" t="s">
        <v>177</v>
      </c>
      <c r="E1027" s="57" t="s">
        <v>178</v>
      </c>
      <c r="F1027" s="57">
        <f t="shared" si="20"/>
        <v>0</v>
      </c>
      <c r="G1027" s="57">
        <v>68.205500000000001</v>
      </c>
      <c r="H1027" s="57">
        <v>71.497399999999999</v>
      </c>
      <c r="I1027" s="57">
        <v>69.460700000000003</v>
      </c>
      <c r="J1027" s="33">
        <f t="shared" si="21"/>
        <v>3.2918999999999983</v>
      </c>
      <c r="K1027" s="33">
        <f t="shared" si="22"/>
        <v>1.2552000000000021</v>
      </c>
      <c r="L1027" s="57">
        <v>4</v>
      </c>
    </row>
    <row r="1028" spans="1:12" x14ac:dyDescent="0.2">
      <c r="A1028" s="70">
        <v>44712</v>
      </c>
      <c r="B1028" s="57" t="s">
        <v>142</v>
      </c>
      <c r="C1028" s="57" t="s">
        <v>176</v>
      </c>
      <c r="D1028" s="57" t="s">
        <v>177</v>
      </c>
      <c r="E1028" s="57" t="s">
        <v>175</v>
      </c>
      <c r="F1028" s="57">
        <f t="shared" si="20"/>
        <v>0</v>
      </c>
      <c r="G1028" s="57">
        <v>26.244700000000002</v>
      </c>
      <c r="H1028" s="57">
        <v>26.416399999999999</v>
      </c>
      <c r="I1028" s="57">
        <v>26.513200000000001</v>
      </c>
      <c r="J1028" s="33">
        <f t="shared" si="21"/>
        <v>0.17169999999999774</v>
      </c>
      <c r="K1028" s="33">
        <f t="shared" si="22"/>
        <v>0.26849999999999952</v>
      </c>
      <c r="L1028" s="57">
        <v>1</v>
      </c>
    </row>
    <row r="1029" spans="1:12" x14ac:dyDescent="0.2">
      <c r="A1029" s="70">
        <v>44712</v>
      </c>
      <c r="B1029" s="57" t="s">
        <v>142</v>
      </c>
      <c r="C1029" s="57" t="s">
        <v>176</v>
      </c>
      <c r="D1029" s="57" t="s">
        <v>177</v>
      </c>
      <c r="E1029" s="57" t="s">
        <v>178</v>
      </c>
      <c r="F1029" s="57">
        <f t="shared" si="20"/>
        <v>0</v>
      </c>
      <c r="G1029" s="57">
        <v>67.178399999999996</v>
      </c>
      <c r="H1029" s="57">
        <v>69.617400000000004</v>
      </c>
      <c r="I1029" s="57">
        <v>67.822599999999994</v>
      </c>
      <c r="J1029" s="33">
        <f t="shared" si="21"/>
        <v>2.4390000000000072</v>
      </c>
      <c r="K1029" s="33">
        <f t="shared" si="22"/>
        <v>0.64419999999999789</v>
      </c>
      <c r="L1029" s="57">
        <v>4</v>
      </c>
    </row>
    <row r="1030" spans="1:12" x14ac:dyDescent="0.2">
      <c r="A1030" s="70">
        <v>44691</v>
      </c>
      <c r="B1030" s="57" t="s">
        <v>182</v>
      </c>
      <c r="C1030" s="57" t="s">
        <v>176</v>
      </c>
      <c r="D1030" s="57" t="s">
        <v>177</v>
      </c>
      <c r="E1030" s="57" t="s">
        <v>178</v>
      </c>
      <c r="F1030" s="57">
        <f t="shared" si="20"/>
        <v>0</v>
      </c>
      <c r="G1030" s="57">
        <v>67.4298</v>
      </c>
      <c r="H1030" s="57">
        <v>72.002799999999993</v>
      </c>
      <c r="I1030" s="57">
        <v>68.987799999999993</v>
      </c>
      <c r="J1030" s="33">
        <f t="shared" si="21"/>
        <v>4.5729999999999933</v>
      </c>
      <c r="K1030" s="33">
        <f t="shared" si="22"/>
        <v>1.5579999999999927</v>
      </c>
      <c r="L1030" s="57">
        <v>4</v>
      </c>
    </row>
    <row r="1031" spans="1:12" x14ac:dyDescent="0.2">
      <c r="A1031" s="70">
        <v>44691</v>
      </c>
      <c r="B1031" s="57" t="s">
        <v>142</v>
      </c>
      <c r="C1031" s="57" t="s">
        <v>176</v>
      </c>
      <c r="D1031" s="57" t="s">
        <v>177</v>
      </c>
      <c r="E1031" s="57" t="s">
        <v>178</v>
      </c>
      <c r="F1031" s="57">
        <f t="shared" si="20"/>
        <v>0</v>
      </c>
      <c r="G1031" s="57">
        <v>67.541799999999995</v>
      </c>
      <c r="H1031" s="57">
        <v>69.948400000000007</v>
      </c>
      <c r="I1031" s="57">
        <v>68.595500000000001</v>
      </c>
      <c r="J1031" s="33">
        <f t="shared" si="21"/>
        <v>2.4066000000000116</v>
      </c>
      <c r="K1031" s="33">
        <f t="shared" si="22"/>
        <v>1.0537000000000063</v>
      </c>
      <c r="L1031" s="57">
        <v>1</v>
      </c>
    </row>
    <row r="1032" spans="1:12" x14ac:dyDescent="0.2">
      <c r="A1032" s="70">
        <v>44704</v>
      </c>
      <c r="B1032" s="57">
        <v>2346</v>
      </c>
      <c r="C1032" s="57" t="s">
        <v>173</v>
      </c>
      <c r="D1032" s="57" t="s">
        <v>177</v>
      </c>
      <c r="E1032" s="57" t="s">
        <v>175</v>
      </c>
      <c r="F1032" s="57">
        <f t="shared" si="20"/>
        <v>0</v>
      </c>
      <c r="G1032" s="57">
        <v>7.2163000000000004</v>
      </c>
      <c r="H1032" s="57">
        <v>7.3068</v>
      </c>
      <c r="I1032" s="57">
        <v>7.2770000000000001</v>
      </c>
      <c r="J1032" s="33">
        <f t="shared" si="21"/>
        <v>9.0499999999999581E-2</v>
      </c>
      <c r="K1032" s="33">
        <f t="shared" si="22"/>
        <v>6.0699999999999754E-2</v>
      </c>
    </row>
    <row r="1033" spans="1:12" x14ac:dyDescent="0.2">
      <c r="A1033" s="70">
        <v>44712</v>
      </c>
      <c r="B1033" s="57" t="s">
        <v>181</v>
      </c>
      <c r="C1033" s="57" t="s">
        <v>176</v>
      </c>
      <c r="D1033" s="57" t="s">
        <v>177</v>
      </c>
      <c r="E1033" s="57" t="s">
        <v>178</v>
      </c>
      <c r="F1033" s="57">
        <f t="shared" si="20"/>
        <v>0</v>
      </c>
      <c r="G1033" s="57">
        <v>68.408199999999994</v>
      </c>
      <c r="H1033" s="57">
        <v>76.542400000000001</v>
      </c>
      <c r="I1033" s="57">
        <v>70.34</v>
      </c>
      <c r="J1033" s="33">
        <f t="shared" si="21"/>
        <v>8.134200000000007</v>
      </c>
      <c r="K1033" s="33">
        <f t="shared" si="22"/>
        <v>1.9318000000000097</v>
      </c>
      <c r="L1033" s="57">
        <v>2.2000000000000002</v>
      </c>
    </row>
    <row r="1034" spans="1:12" x14ac:dyDescent="0.2">
      <c r="A1034" s="70">
        <v>44712</v>
      </c>
      <c r="B1034" s="57" t="s">
        <v>181</v>
      </c>
      <c r="C1034" s="57" t="s">
        <v>176</v>
      </c>
      <c r="D1034" s="57" t="s">
        <v>177</v>
      </c>
      <c r="E1034" s="57" t="s">
        <v>178</v>
      </c>
      <c r="F1034" s="57">
        <f t="shared" si="20"/>
        <v>0</v>
      </c>
      <c r="G1034" s="57">
        <v>66.990899999999996</v>
      </c>
      <c r="H1034" s="57">
        <v>72.188900000000004</v>
      </c>
      <c r="I1034" s="57">
        <v>68.281499999999994</v>
      </c>
      <c r="J1034" s="33">
        <f t="shared" si="21"/>
        <v>5.1980000000000075</v>
      </c>
      <c r="K1034" s="33">
        <f t="shared" si="22"/>
        <v>1.2905999999999977</v>
      </c>
      <c r="L1034" s="57">
        <v>2.1</v>
      </c>
    </row>
    <row r="1035" spans="1:12" x14ac:dyDescent="0.2">
      <c r="A1035" s="70">
        <v>44704</v>
      </c>
      <c r="B1035" s="57">
        <v>2365</v>
      </c>
      <c r="C1035" s="57" t="s">
        <v>173</v>
      </c>
      <c r="D1035" s="57" t="s">
        <v>174</v>
      </c>
      <c r="E1035" s="57" t="s">
        <v>175</v>
      </c>
      <c r="F1035" s="57">
        <f t="shared" si="20"/>
        <v>1</v>
      </c>
      <c r="G1035" s="57">
        <v>6.2598000000000003</v>
      </c>
      <c r="H1035" s="57">
        <v>6.5412999999999997</v>
      </c>
      <c r="I1035" s="57">
        <v>6.4329000000000001</v>
      </c>
      <c r="J1035" s="33">
        <f t="shared" si="21"/>
        <v>0.28149999999999942</v>
      </c>
      <c r="K1035" s="33">
        <f t="shared" si="22"/>
        <v>0.17309999999999981</v>
      </c>
    </row>
    <row r="1036" spans="1:12" x14ac:dyDescent="0.2">
      <c r="A1036" s="70">
        <v>44712</v>
      </c>
      <c r="B1036" s="57" t="s">
        <v>181</v>
      </c>
      <c r="C1036" s="57" t="s">
        <v>176</v>
      </c>
      <c r="D1036" s="57" t="s">
        <v>177</v>
      </c>
      <c r="E1036" s="57" t="s">
        <v>178</v>
      </c>
      <c r="F1036" s="57">
        <f t="shared" si="20"/>
        <v>0</v>
      </c>
      <c r="G1036" s="57">
        <v>66.566299999999998</v>
      </c>
      <c r="H1036" s="57">
        <v>73.925899999999999</v>
      </c>
      <c r="I1036" s="57">
        <v>68.5715</v>
      </c>
      <c r="J1036" s="33">
        <f t="shared" si="21"/>
        <v>7.3596000000000004</v>
      </c>
      <c r="K1036" s="33">
        <f t="shared" si="22"/>
        <v>2.0052000000000021</v>
      </c>
      <c r="L1036" s="57">
        <v>5</v>
      </c>
    </row>
    <row r="1037" spans="1:12" x14ac:dyDescent="0.2">
      <c r="A1037" s="70">
        <v>44712</v>
      </c>
      <c r="B1037" s="57" t="s">
        <v>181</v>
      </c>
      <c r="C1037" s="57" t="s">
        <v>176</v>
      </c>
      <c r="D1037" s="57" t="s">
        <v>177</v>
      </c>
      <c r="E1037" s="57" t="s">
        <v>175</v>
      </c>
      <c r="F1037" s="57">
        <f t="shared" si="20"/>
        <v>0</v>
      </c>
      <c r="G1037" s="57">
        <v>25.7881</v>
      </c>
      <c r="H1037" s="57">
        <v>27.8447</v>
      </c>
      <c r="I1037" s="57">
        <v>26.438800000000001</v>
      </c>
      <c r="J1037" s="33">
        <f t="shared" si="21"/>
        <v>2.0565999999999995</v>
      </c>
      <c r="K1037" s="33">
        <f t="shared" si="22"/>
        <v>0.6507000000000005</v>
      </c>
      <c r="L1037" s="57">
        <v>5</v>
      </c>
    </row>
    <row r="1038" spans="1:12" x14ac:dyDescent="0.2">
      <c r="A1038" s="70">
        <v>44712</v>
      </c>
      <c r="B1038" s="57" t="s">
        <v>182</v>
      </c>
      <c r="C1038" s="57" t="s">
        <v>176</v>
      </c>
      <c r="D1038" s="57" t="s">
        <v>177</v>
      </c>
      <c r="E1038" s="57" t="s">
        <v>175</v>
      </c>
      <c r="F1038" s="57">
        <f t="shared" si="20"/>
        <v>0</v>
      </c>
      <c r="G1038" s="57">
        <v>25.344999999999999</v>
      </c>
      <c r="H1038" s="57">
        <v>26.377400000000002</v>
      </c>
      <c r="I1038" s="57">
        <v>25.543700000000001</v>
      </c>
      <c r="J1038" s="33">
        <f t="shared" si="21"/>
        <v>1.0324000000000026</v>
      </c>
      <c r="K1038" s="33">
        <f t="shared" si="22"/>
        <v>0.19870000000000232</v>
      </c>
      <c r="L1038" s="57">
        <v>5</v>
      </c>
    </row>
    <row r="1039" spans="1:12" x14ac:dyDescent="0.2">
      <c r="A1039" s="70">
        <v>44712</v>
      </c>
      <c r="B1039" s="57" t="s">
        <v>142</v>
      </c>
      <c r="C1039" s="57" t="s">
        <v>176</v>
      </c>
      <c r="D1039" s="57" t="s">
        <v>177</v>
      </c>
      <c r="E1039" s="57" t="s">
        <v>178</v>
      </c>
      <c r="F1039" s="57">
        <f t="shared" si="20"/>
        <v>0</v>
      </c>
      <c r="G1039" s="57">
        <v>68.150000000000006</v>
      </c>
      <c r="H1039" s="57">
        <v>70.283600000000007</v>
      </c>
      <c r="I1039" s="57">
        <v>69.120199999999997</v>
      </c>
      <c r="J1039" s="33">
        <f t="shared" si="21"/>
        <v>2.1336000000000013</v>
      </c>
      <c r="K1039" s="33">
        <f t="shared" si="22"/>
        <v>0.97019999999999129</v>
      </c>
      <c r="L1039" s="57">
        <v>1</v>
      </c>
    </row>
    <row r="1040" spans="1:12" x14ac:dyDescent="0.2">
      <c r="A1040" s="70">
        <v>44691</v>
      </c>
      <c r="B1040" s="57" t="s">
        <v>182</v>
      </c>
      <c r="C1040" s="57" t="s">
        <v>176</v>
      </c>
      <c r="D1040" s="57" t="s">
        <v>177</v>
      </c>
      <c r="E1040" s="57" t="s">
        <v>178</v>
      </c>
      <c r="F1040" s="57">
        <f t="shared" si="20"/>
        <v>0</v>
      </c>
      <c r="G1040" s="57">
        <v>67.899699999999996</v>
      </c>
      <c r="H1040" s="57">
        <v>73.022499999999994</v>
      </c>
      <c r="I1040" s="57">
        <v>69.5548</v>
      </c>
      <c r="J1040" s="33">
        <f t="shared" si="21"/>
        <v>5.122799999999998</v>
      </c>
      <c r="K1040" s="33">
        <f t="shared" si="22"/>
        <v>1.6551000000000045</v>
      </c>
      <c r="L1040" s="57">
        <v>5</v>
      </c>
    </row>
    <row r="1041" spans="1:12" x14ac:dyDescent="0.2">
      <c r="A1041" s="70">
        <v>44691</v>
      </c>
      <c r="B1041" s="57" t="s">
        <v>181</v>
      </c>
      <c r="C1041" s="57" t="s">
        <v>176</v>
      </c>
      <c r="D1041" s="57" t="s">
        <v>177</v>
      </c>
      <c r="E1041" s="57" t="s">
        <v>178</v>
      </c>
      <c r="F1041" s="57">
        <f t="shared" si="20"/>
        <v>0</v>
      </c>
      <c r="G1041" s="57">
        <v>68.626999999999995</v>
      </c>
      <c r="H1041" s="57">
        <v>77.995999999999995</v>
      </c>
      <c r="I1041" s="57">
        <v>70.801599999999993</v>
      </c>
      <c r="J1041" s="33">
        <f t="shared" si="21"/>
        <v>9.3689999999999998</v>
      </c>
      <c r="K1041" s="33">
        <f t="shared" si="22"/>
        <v>2.1745999999999981</v>
      </c>
      <c r="L1041" s="57">
        <v>2.2000000000000002</v>
      </c>
    </row>
    <row r="1042" spans="1:12" x14ac:dyDescent="0.2">
      <c r="A1042" s="70">
        <v>44704</v>
      </c>
      <c r="B1042" s="57">
        <v>2371</v>
      </c>
      <c r="C1042" s="57" t="s">
        <v>173</v>
      </c>
      <c r="D1042" s="57" t="s">
        <v>177</v>
      </c>
      <c r="E1042" s="57" t="s">
        <v>175</v>
      </c>
      <c r="F1042" s="57">
        <f t="shared" si="20"/>
        <v>0</v>
      </c>
      <c r="G1042" s="57">
        <v>7.21</v>
      </c>
      <c r="H1042" s="57">
        <v>7.5940000000000003</v>
      </c>
      <c r="I1042" s="57">
        <v>7.4211</v>
      </c>
      <c r="J1042" s="33">
        <f t="shared" si="21"/>
        <v>0.38400000000000034</v>
      </c>
      <c r="K1042" s="33">
        <f t="shared" si="22"/>
        <v>0.21110000000000007</v>
      </c>
    </row>
    <row r="1043" spans="1:12" x14ac:dyDescent="0.2">
      <c r="A1043" s="70">
        <v>44698</v>
      </c>
      <c r="B1043" s="57" t="s">
        <v>182</v>
      </c>
      <c r="C1043" s="57" t="s">
        <v>176</v>
      </c>
      <c r="D1043" s="57" t="s">
        <v>177</v>
      </c>
      <c r="E1043" s="57" t="s">
        <v>175</v>
      </c>
      <c r="F1043" s="57">
        <f t="shared" si="20"/>
        <v>0</v>
      </c>
      <c r="G1043" s="57">
        <v>67.620599999999996</v>
      </c>
      <c r="H1043" s="57">
        <v>72.569000000000003</v>
      </c>
      <c r="I1043" s="57">
        <v>69.241</v>
      </c>
      <c r="J1043" s="33">
        <f t="shared" si="21"/>
        <v>4.9484000000000066</v>
      </c>
      <c r="K1043" s="33">
        <f t="shared" si="22"/>
        <v>1.6204000000000036</v>
      </c>
      <c r="L1043" s="57">
        <v>5</v>
      </c>
    </row>
    <row r="1044" spans="1:12" x14ac:dyDescent="0.2">
      <c r="A1044" s="70">
        <v>44706</v>
      </c>
      <c r="B1044" s="57">
        <v>2088</v>
      </c>
      <c r="C1044" s="57" t="s">
        <v>176</v>
      </c>
      <c r="D1044" s="57" t="s">
        <v>177</v>
      </c>
      <c r="E1044" s="57" t="s">
        <v>175</v>
      </c>
      <c r="F1044" s="57">
        <f t="shared" si="20"/>
        <v>0</v>
      </c>
      <c r="G1044" s="57">
        <v>6.2348999999999997</v>
      </c>
      <c r="H1044" s="57">
        <v>6.9462999999999999</v>
      </c>
      <c r="I1044" s="57">
        <v>6.6020000000000003</v>
      </c>
      <c r="J1044" s="33">
        <f t="shared" si="21"/>
        <v>0.71140000000000025</v>
      </c>
      <c r="K1044" s="33">
        <f t="shared" si="22"/>
        <v>0.36710000000000065</v>
      </c>
    </row>
    <row r="1045" spans="1:12" x14ac:dyDescent="0.2">
      <c r="A1045" s="70">
        <v>44706</v>
      </c>
      <c r="B1045" s="57">
        <v>2007</v>
      </c>
      <c r="C1045" s="57" t="s">
        <v>176</v>
      </c>
      <c r="D1045" s="57" t="s">
        <v>174</v>
      </c>
      <c r="E1045" s="57" t="s">
        <v>175</v>
      </c>
      <c r="F1045" s="57">
        <f t="shared" si="20"/>
        <v>1</v>
      </c>
      <c r="G1045" s="57">
        <v>6.3041</v>
      </c>
      <c r="H1045" s="57">
        <v>6.8482000000000003</v>
      </c>
      <c r="I1045" s="57">
        <v>6.7225999999999999</v>
      </c>
      <c r="J1045" s="33">
        <f t="shared" si="21"/>
        <v>0.54410000000000025</v>
      </c>
      <c r="K1045" s="33">
        <f t="shared" si="22"/>
        <v>0.41849999999999987</v>
      </c>
    </row>
    <row r="1046" spans="1:12" x14ac:dyDescent="0.2">
      <c r="A1046" s="70">
        <v>44691</v>
      </c>
      <c r="B1046" s="57" t="s">
        <v>142</v>
      </c>
      <c r="C1046" s="57" t="s">
        <v>176</v>
      </c>
      <c r="D1046" s="57" t="s">
        <v>177</v>
      </c>
      <c r="E1046" s="57" t="s">
        <v>178</v>
      </c>
      <c r="F1046" s="57">
        <f t="shared" si="20"/>
        <v>0</v>
      </c>
      <c r="G1046" s="57">
        <v>67.798500000000004</v>
      </c>
      <c r="H1046" s="57">
        <v>71.274799999999999</v>
      </c>
      <c r="I1046" s="57">
        <v>68.977199999999996</v>
      </c>
      <c r="J1046" s="33">
        <f t="shared" si="21"/>
        <v>3.4762999999999948</v>
      </c>
      <c r="K1046" s="33">
        <f t="shared" si="22"/>
        <v>1.1786999999999921</v>
      </c>
      <c r="L1046" s="57">
        <v>3</v>
      </c>
    </row>
    <row r="1047" spans="1:12" x14ac:dyDescent="0.2">
      <c r="A1047" s="70">
        <v>44691</v>
      </c>
      <c r="B1047" s="57" t="s">
        <v>181</v>
      </c>
      <c r="C1047" s="57" t="s">
        <v>176</v>
      </c>
      <c r="D1047" s="57" t="s">
        <v>177</v>
      </c>
      <c r="E1047" s="57" t="s">
        <v>178</v>
      </c>
      <c r="F1047" s="57">
        <f t="shared" si="20"/>
        <v>0</v>
      </c>
      <c r="G1047" s="57">
        <v>67.453100000000006</v>
      </c>
      <c r="H1047" s="57">
        <v>72.144099999999995</v>
      </c>
      <c r="I1047" s="57">
        <v>68.846599999999995</v>
      </c>
      <c r="J1047" s="33">
        <f t="shared" si="21"/>
        <v>4.6909999999999883</v>
      </c>
      <c r="K1047" s="33">
        <f t="shared" si="22"/>
        <v>1.3934999999999889</v>
      </c>
      <c r="L1047" s="57">
        <v>1</v>
      </c>
    </row>
    <row r="1048" spans="1:12" x14ac:dyDescent="0.2">
      <c r="A1048" s="70">
        <v>44698</v>
      </c>
      <c r="B1048" s="57" t="s">
        <v>142</v>
      </c>
      <c r="C1048" s="57" t="s">
        <v>176</v>
      </c>
      <c r="D1048" s="57" t="s">
        <v>177</v>
      </c>
      <c r="E1048" s="57" t="s">
        <v>178</v>
      </c>
      <c r="F1048" s="57">
        <f t="shared" si="20"/>
        <v>0</v>
      </c>
      <c r="G1048" s="57">
        <v>26.329899999999999</v>
      </c>
      <c r="H1048" s="57">
        <v>28.6309</v>
      </c>
      <c r="I1048" s="57">
        <v>27.122800000000002</v>
      </c>
      <c r="J1048" s="33">
        <f t="shared" si="21"/>
        <v>2.3010000000000019</v>
      </c>
      <c r="K1048" s="33">
        <f t="shared" si="22"/>
        <v>0.79290000000000305</v>
      </c>
      <c r="L1048" s="57">
        <v>4</v>
      </c>
    </row>
    <row r="1049" spans="1:12" x14ac:dyDescent="0.2">
      <c r="A1049" s="70">
        <v>44698</v>
      </c>
      <c r="B1049" s="57" t="s">
        <v>182</v>
      </c>
      <c r="C1049" s="57" t="s">
        <v>176</v>
      </c>
      <c r="D1049" s="57" t="s">
        <v>177</v>
      </c>
      <c r="E1049" s="57" t="s">
        <v>175</v>
      </c>
      <c r="F1049" s="57">
        <f t="shared" si="20"/>
        <v>0</v>
      </c>
      <c r="G1049" s="57">
        <v>6.3380999999999998</v>
      </c>
      <c r="H1049" s="57">
        <v>7.2199</v>
      </c>
      <c r="I1049" s="57">
        <v>6.6822999999999997</v>
      </c>
      <c r="J1049" s="33">
        <f t="shared" si="21"/>
        <v>0.88180000000000014</v>
      </c>
      <c r="K1049" s="33">
        <f t="shared" si="22"/>
        <v>0.34419999999999984</v>
      </c>
      <c r="L1049" s="57">
        <v>3</v>
      </c>
    </row>
    <row r="1050" spans="1:12" x14ac:dyDescent="0.2">
      <c r="A1050" s="70">
        <v>44706</v>
      </c>
      <c r="B1050" s="57">
        <v>2089</v>
      </c>
      <c r="C1050" s="57" t="s">
        <v>176</v>
      </c>
      <c r="D1050" s="57" t="s">
        <v>174</v>
      </c>
      <c r="E1050" s="57" t="s">
        <v>175</v>
      </c>
      <c r="F1050" s="57">
        <f t="shared" si="20"/>
        <v>1</v>
      </c>
      <c r="G1050" s="57">
        <v>7.2706</v>
      </c>
      <c r="H1050" s="57">
        <v>8.0286000000000008</v>
      </c>
      <c r="I1050" s="57">
        <v>7.7069000000000001</v>
      </c>
      <c r="J1050" s="33">
        <f t="shared" si="21"/>
        <v>0.7580000000000009</v>
      </c>
      <c r="K1050" s="33">
        <f t="shared" si="22"/>
        <v>0.43630000000000013</v>
      </c>
    </row>
    <row r="1051" spans="1:12" x14ac:dyDescent="0.2">
      <c r="A1051" s="70">
        <v>44698</v>
      </c>
      <c r="B1051" s="57" t="s">
        <v>142</v>
      </c>
      <c r="C1051" s="57" t="s">
        <v>176</v>
      </c>
      <c r="D1051" s="57" t="s">
        <v>177</v>
      </c>
      <c r="E1051" s="57" t="s">
        <v>175</v>
      </c>
      <c r="F1051" s="57">
        <f t="shared" si="20"/>
        <v>0</v>
      </c>
      <c r="G1051" s="57">
        <v>6.3259999999999996</v>
      </c>
      <c r="H1051" s="57">
        <v>6.9501999999999997</v>
      </c>
      <c r="I1051" s="57">
        <v>6.6029</v>
      </c>
      <c r="J1051" s="33">
        <f t="shared" si="21"/>
        <v>0.62420000000000009</v>
      </c>
      <c r="K1051" s="33">
        <f t="shared" si="22"/>
        <v>0.27690000000000037</v>
      </c>
      <c r="L1051" s="57">
        <v>5</v>
      </c>
    </row>
    <row r="1052" spans="1:12" x14ac:dyDescent="0.2">
      <c r="A1052" s="70">
        <v>44698</v>
      </c>
      <c r="B1052" s="57" t="s">
        <v>142</v>
      </c>
      <c r="C1052" s="57" t="s">
        <v>176</v>
      </c>
      <c r="D1052" s="57" t="s">
        <v>177</v>
      </c>
      <c r="E1052" s="57" t="s">
        <v>175</v>
      </c>
      <c r="F1052" s="57">
        <f t="shared" si="20"/>
        <v>0</v>
      </c>
      <c r="G1052" s="57">
        <v>7.5134999999999996</v>
      </c>
      <c r="H1052" s="57">
        <v>8.2773000000000003</v>
      </c>
      <c r="I1052" s="57">
        <v>7.8860999999999999</v>
      </c>
      <c r="J1052" s="33">
        <f t="shared" si="21"/>
        <v>0.7638000000000007</v>
      </c>
      <c r="K1052" s="33">
        <f t="shared" si="22"/>
        <v>0.37260000000000026</v>
      </c>
      <c r="L1052" s="57">
        <v>1</v>
      </c>
    </row>
    <row r="1053" spans="1:12" x14ac:dyDescent="0.2">
      <c r="A1053" s="70">
        <v>44698</v>
      </c>
      <c r="B1053" s="57" t="s">
        <v>142</v>
      </c>
      <c r="C1053" s="57" t="s">
        <v>176</v>
      </c>
      <c r="D1053" s="57" t="s">
        <v>177</v>
      </c>
      <c r="E1053" s="57" t="s">
        <v>178</v>
      </c>
      <c r="F1053" s="57">
        <f t="shared" si="20"/>
        <v>0</v>
      </c>
      <c r="G1053" s="57">
        <v>67.168499999999995</v>
      </c>
      <c r="H1053" s="57">
        <v>70.554400000000001</v>
      </c>
      <c r="I1053" s="57">
        <v>68.395099999999999</v>
      </c>
      <c r="J1053" s="33">
        <f t="shared" si="21"/>
        <v>3.3859000000000066</v>
      </c>
      <c r="K1053" s="33">
        <f t="shared" si="22"/>
        <v>1.2266000000000048</v>
      </c>
      <c r="L1053" s="57">
        <v>3</v>
      </c>
    </row>
    <row r="1054" spans="1:12" x14ac:dyDescent="0.2">
      <c r="A1054" s="70">
        <v>44698</v>
      </c>
      <c r="B1054" s="57" t="s">
        <v>181</v>
      </c>
      <c r="C1054" s="57" t="s">
        <v>176</v>
      </c>
      <c r="D1054" s="57" t="s">
        <v>177</v>
      </c>
      <c r="E1054" s="57" t="s">
        <v>175</v>
      </c>
      <c r="F1054" s="57">
        <f t="shared" si="20"/>
        <v>0</v>
      </c>
      <c r="G1054" s="57">
        <v>7.3937999999999997</v>
      </c>
      <c r="H1054" s="57">
        <v>9.6353000000000009</v>
      </c>
      <c r="I1054" s="57">
        <v>7.9916999999999998</v>
      </c>
      <c r="J1054" s="33">
        <f t="shared" si="21"/>
        <v>2.2415000000000012</v>
      </c>
      <c r="K1054" s="33">
        <f t="shared" si="22"/>
        <v>0.5979000000000001</v>
      </c>
      <c r="L1054" s="57">
        <v>2.1</v>
      </c>
    </row>
    <row r="1055" spans="1:12" x14ac:dyDescent="0.2">
      <c r="A1055" s="70">
        <v>44698</v>
      </c>
      <c r="B1055" s="57" t="s">
        <v>142</v>
      </c>
      <c r="C1055" s="57" t="s">
        <v>176</v>
      </c>
      <c r="D1055" s="57" t="s">
        <v>177</v>
      </c>
      <c r="E1055" s="57" t="s">
        <v>175</v>
      </c>
      <c r="F1055" s="57">
        <f t="shared" si="20"/>
        <v>0</v>
      </c>
      <c r="G1055" s="57">
        <v>7.2778999999999998</v>
      </c>
      <c r="H1055" s="57">
        <v>8.3876000000000008</v>
      </c>
      <c r="I1055" s="57">
        <v>7.6936999999999998</v>
      </c>
      <c r="J1055" s="33">
        <f t="shared" si="21"/>
        <v>1.109700000000001</v>
      </c>
      <c r="K1055" s="33">
        <f t="shared" si="22"/>
        <v>0.41579999999999995</v>
      </c>
      <c r="L1055" s="57">
        <v>3</v>
      </c>
    </row>
    <row r="1056" spans="1:12" x14ac:dyDescent="0.2">
      <c r="A1056" s="70">
        <v>44706</v>
      </c>
      <c r="B1056" s="57">
        <v>2087</v>
      </c>
      <c r="C1056" s="57" t="s">
        <v>176</v>
      </c>
      <c r="D1056" s="57" t="s">
        <v>174</v>
      </c>
      <c r="E1056" s="57" t="s">
        <v>175</v>
      </c>
      <c r="F1056" s="57">
        <f t="shared" si="20"/>
        <v>1</v>
      </c>
      <c r="G1056" s="57">
        <v>7.4054000000000002</v>
      </c>
      <c r="H1056" s="57">
        <v>8.2111999999999998</v>
      </c>
      <c r="I1056" s="57">
        <v>7.8837000000000002</v>
      </c>
      <c r="J1056" s="33">
        <f t="shared" si="21"/>
        <v>0.80579999999999963</v>
      </c>
      <c r="K1056" s="33">
        <f t="shared" si="22"/>
        <v>0.47829999999999995</v>
      </c>
    </row>
    <row r="1057" spans="1:12" x14ac:dyDescent="0.2">
      <c r="A1057" s="70">
        <v>44704</v>
      </c>
      <c r="B1057" s="57">
        <v>2377</v>
      </c>
      <c r="C1057" s="57" t="s">
        <v>173</v>
      </c>
      <c r="D1057" s="57" t="s">
        <v>174</v>
      </c>
      <c r="E1057" s="57" t="s">
        <v>175</v>
      </c>
      <c r="F1057" s="57">
        <f t="shared" si="20"/>
        <v>1</v>
      </c>
      <c r="G1057" s="57">
        <v>6.2207999999999997</v>
      </c>
      <c r="H1057" s="57">
        <v>6.4348000000000001</v>
      </c>
      <c r="I1057" s="57">
        <v>6.3528000000000002</v>
      </c>
      <c r="J1057" s="33">
        <f t="shared" si="21"/>
        <v>0.21400000000000041</v>
      </c>
      <c r="K1057" s="33">
        <f t="shared" si="22"/>
        <v>0.13200000000000056</v>
      </c>
    </row>
    <row r="1058" spans="1:12" x14ac:dyDescent="0.2">
      <c r="A1058" s="70">
        <v>44704</v>
      </c>
      <c r="B1058" s="57">
        <v>2331</v>
      </c>
      <c r="C1058" s="57" t="s">
        <v>173</v>
      </c>
      <c r="D1058" s="57" t="s">
        <v>174</v>
      </c>
      <c r="E1058" s="57" t="s">
        <v>175</v>
      </c>
      <c r="F1058" s="57">
        <f t="shared" si="20"/>
        <v>1</v>
      </c>
      <c r="G1058" s="57">
        <v>7.3331</v>
      </c>
      <c r="H1058" s="57">
        <v>7.7135999999999996</v>
      </c>
      <c r="I1058" s="57">
        <v>7.5693000000000001</v>
      </c>
      <c r="J1058" s="33">
        <f t="shared" si="21"/>
        <v>0.38049999999999962</v>
      </c>
      <c r="K1058" s="33">
        <f t="shared" si="22"/>
        <v>0.23620000000000019</v>
      </c>
    </row>
    <row r="1059" spans="1:12" x14ac:dyDescent="0.2">
      <c r="A1059" s="70">
        <v>44706</v>
      </c>
      <c r="B1059" s="57">
        <v>2004</v>
      </c>
      <c r="C1059" s="57" t="s">
        <v>176</v>
      </c>
      <c r="D1059" s="57" t="s">
        <v>174</v>
      </c>
      <c r="E1059" s="57" t="s">
        <v>175</v>
      </c>
      <c r="F1059" s="57">
        <f t="shared" si="20"/>
        <v>1</v>
      </c>
      <c r="G1059" s="57">
        <v>7.2763999999999998</v>
      </c>
      <c r="H1059" s="57">
        <v>8.0259</v>
      </c>
      <c r="I1059" s="57">
        <v>7.7201000000000004</v>
      </c>
      <c r="J1059" s="33">
        <f t="shared" si="21"/>
        <v>0.74950000000000028</v>
      </c>
      <c r="K1059" s="33">
        <f t="shared" si="22"/>
        <v>0.44370000000000065</v>
      </c>
    </row>
    <row r="1060" spans="1:12" x14ac:dyDescent="0.2">
      <c r="A1060" s="70">
        <v>44698</v>
      </c>
      <c r="B1060" s="57" t="s">
        <v>182</v>
      </c>
      <c r="C1060" s="57" t="s">
        <v>176</v>
      </c>
      <c r="D1060" s="57" t="s">
        <v>177</v>
      </c>
      <c r="E1060" s="57" t="s">
        <v>175</v>
      </c>
      <c r="F1060" s="57">
        <f t="shared" si="20"/>
        <v>0</v>
      </c>
      <c r="G1060" s="57">
        <v>7.3548999999999998</v>
      </c>
      <c r="H1060" s="57">
        <v>7.8960999999999997</v>
      </c>
      <c r="I1060" s="57">
        <v>7.5743999999999998</v>
      </c>
      <c r="J1060" s="33">
        <f t="shared" si="21"/>
        <v>0.5411999999999999</v>
      </c>
      <c r="K1060" s="33">
        <f t="shared" si="22"/>
        <v>0.21950000000000003</v>
      </c>
      <c r="L1060" s="57">
        <v>4</v>
      </c>
    </row>
    <row r="1061" spans="1:12" x14ac:dyDescent="0.2">
      <c r="A1061" s="70">
        <v>44706</v>
      </c>
      <c r="B1061" s="57">
        <v>2006</v>
      </c>
      <c r="C1061" s="57" t="s">
        <v>176</v>
      </c>
      <c r="D1061" s="57" t="s">
        <v>174</v>
      </c>
      <c r="E1061" s="57" t="s">
        <v>175</v>
      </c>
      <c r="F1061" s="57">
        <f t="shared" si="20"/>
        <v>1</v>
      </c>
      <c r="G1061" s="57">
        <v>7.3467000000000002</v>
      </c>
      <c r="H1061" s="57">
        <v>7.8966000000000003</v>
      </c>
      <c r="I1061" s="57">
        <v>7.6632999999999996</v>
      </c>
      <c r="J1061" s="33">
        <f t="shared" si="21"/>
        <v>0.54990000000000006</v>
      </c>
      <c r="K1061" s="33">
        <f t="shared" si="22"/>
        <v>0.31659999999999933</v>
      </c>
    </row>
    <row r="1062" spans="1:12" x14ac:dyDescent="0.2">
      <c r="A1062" s="70">
        <v>44691</v>
      </c>
      <c r="B1062" s="57" t="s">
        <v>181</v>
      </c>
      <c r="C1062" s="57" t="s">
        <v>176</v>
      </c>
      <c r="D1062" s="57" t="s">
        <v>177</v>
      </c>
      <c r="E1062" s="57" t="s">
        <v>178</v>
      </c>
      <c r="F1062" s="57">
        <f t="shared" si="20"/>
        <v>0</v>
      </c>
      <c r="G1062" s="57">
        <v>67.2637</v>
      </c>
      <c r="H1062" s="57">
        <v>76.731700000000004</v>
      </c>
      <c r="I1062" s="57">
        <v>69.822500000000005</v>
      </c>
      <c r="J1062" s="33">
        <f t="shared" si="21"/>
        <v>9.4680000000000035</v>
      </c>
      <c r="K1062" s="33">
        <f t="shared" si="22"/>
        <v>2.5588000000000051</v>
      </c>
      <c r="L1062" s="57">
        <v>2.1</v>
      </c>
    </row>
    <row r="1063" spans="1:12" x14ac:dyDescent="0.2">
      <c r="A1063" s="70">
        <v>44704</v>
      </c>
      <c r="B1063" s="57">
        <v>2346</v>
      </c>
      <c r="C1063" s="57" t="s">
        <v>173</v>
      </c>
      <c r="D1063" s="57" t="s">
        <v>174</v>
      </c>
      <c r="E1063" s="57" t="s">
        <v>175</v>
      </c>
      <c r="F1063" s="57">
        <f t="shared" si="20"/>
        <v>1</v>
      </c>
      <c r="G1063" s="57">
        <v>7.266</v>
      </c>
      <c r="H1063" s="57">
        <v>7.8211000000000004</v>
      </c>
      <c r="I1063" s="57">
        <v>7.6139000000000001</v>
      </c>
      <c r="J1063" s="33">
        <f t="shared" si="21"/>
        <v>0.55510000000000037</v>
      </c>
      <c r="K1063" s="33">
        <f t="shared" si="22"/>
        <v>0.3479000000000001</v>
      </c>
    </row>
    <row r="1064" spans="1:12" x14ac:dyDescent="0.2">
      <c r="A1064" s="70">
        <v>44691</v>
      </c>
      <c r="B1064" s="57" t="s">
        <v>181</v>
      </c>
      <c r="C1064" s="57" t="s">
        <v>176</v>
      </c>
      <c r="D1064" s="57" t="s">
        <v>177</v>
      </c>
      <c r="E1064" s="57" t="s">
        <v>175</v>
      </c>
      <c r="F1064" s="57">
        <f t="shared" si="20"/>
        <v>0</v>
      </c>
      <c r="G1064" s="57">
        <v>6.3426999999999998</v>
      </c>
      <c r="H1064" s="57">
        <v>8.2429000000000006</v>
      </c>
      <c r="I1064" s="57">
        <v>6.8491</v>
      </c>
      <c r="J1064" s="33">
        <f t="shared" si="21"/>
        <v>1.9002000000000008</v>
      </c>
      <c r="K1064" s="33">
        <f t="shared" si="22"/>
        <v>0.50640000000000018</v>
      </c>
      <c r="L1064" s="57">
        <v>1</v>
      </c>
    </row>
    <row r="1065" spans="1:12" x14ac:dyDescent="0.2">
      <c r="A1065" s="70">
        <v>44706</v>
      </c>
      <c r="B1065" s="57">
        <v>2091</v>
      </c>
      <c r="C1065" s="57" t="s">
        <v>176</v>
      </c>
      <c r="D1065" s="57" t="s">
        <v>177</v>
      </c>
      <c r="E1065" s="57" t="s">
        <v>175</v>
      </c>
      <c r="F1065" s="57">
        <f t="shared" si="20"/>
        <v>0</v>
      </c>
      <c r="G1065" s="57">
        <v>7.3098000000000001</v>
      </c>
      <c r="H1065" s="57">
        <v>7.7718999999999996</v>
      </c>
      <c r="I1065" s="57">
        <v>7.54</v>
      </c>
      <c r="J1065" s="33">
        <f t="shared" si="21"/>
        <v>0.46209999999999951</v>
      </c>
      <c r="K1065" s="33">
        <f t="shared" si="22"/>
        <v>0.23019999999999996</v>
      </c>
    </row>
    <row r="1066" spans="1:12" x14ac:dyDescent="0.2">
      <c r="A1066" s="70">
        <v>44712</v>
      </c>
      <c r="B1066" s="57" t="s">
        <v>142</v>
      </c>
      <c r="C1066" s="57" t="s">
        <v>176</v>
      </c>
      <c r="D1066" s="57" t="s">
        <v>177</v>
      </c>
      <c r="E1066" s="57" t="s">
        <v>175</v>
      </c>
      <c r="F1066" s="57">
        <f t="shared" si="20"/>
        <v>0</v>
      </c>
      <c r="G1066" s="57">
        <v>26.197800000000001</v>
      </c>
      <c r="H1066" s="57">
        <v>26.2897</v>
      </c>
      <c r="I1066" s="57">
        <v>26.409300000000002</v>
      </c>
      <c r="J1066" s="33">
        <f t="shared" si="21"/>
        <v>9.1899999999998983E-2</v>
      </c>
      <c r="K1066" s="33">
        <f t="shared" si="22"/>
        <v>0.21150000000000091</v>
      </c>
      <c r="L1066" s="57">
        <v>5</v>
      </c>
    </row>
    <row r="1067" spans="1:12" x14ac:dyDescent="0.2">
      <c r="A1067" s="70">
        <v>44704</v>
      </c>
      <c r="B1067" s="57">
        <v>2370</v>
      </c>
      <c r="C1067" s="57" t="s">
        <v>173</v>
      </c>
      <c r="D1067" s="57" t="s">
        <v>177</v>
      </c>
      <c r="E1067" s="57" t="s">
        <v>175</v>
      </c>
      <c r="F1067" s="57">
        <f t="shared" si="20"/>
        <v>0</v>
      </c>
      <c r="G1067" s="57">
        <v>7.3411</v>
      </c>
      <c r="H1067" s="57">
        <v>7.4919000000000002</v>
      </c>
      <c r="I1067" s="57">
        <v>7.4292999999999996</v>
      </c>
      <c r="J1067" s="33">
        <f t="shared" si="21"/>
        <v>0.15080000000000027</v>
      </c>
      <c r="K1067" s="33">
        <f t="shared" si="22"/>
        <v>8.8199999999999612E-2</v>
      </c>
    </row>
    <row r="1068" spans="1:12" x14ac:dyDescent="0.2">
      <c r="A1068" s="70">
        <v>44704</v>
      </c>
      <c r="B1068" s="57">
        <v>2345</v>
      </c>
      <c r="C1068" s="57" t="s">
        <v>173</v>
      </c>
      <c r="D1068" s="57" t="s">
        <v>174</v>
      </c>
      <c r="E1068" s="57" t="s">
        <v>175</v>
      </c>
      <c r="F1068" s="57">
        <f t="shared" si="20"/>
        <v>1</v>
      </c>
      <c r="G1068" s="57">
        <v>6.2382</v>
      </c>
      <c r="H1068" s="57">
        <v>6.4747000000000003</v>
      </c>
      <c r="I1068" s="57">
        <v>7.3769999999999998</v>
      </c>
      <c r="J1068" s="33">
        <f t="shared" si="21"/>
        <v>0.23650000000000038</v>
      </c>
      <c r="K1068" s="33">
        <f t="shared" si="22"/>
        <v>1.1387999999999998</v>
      </c>
    </row>
    <row r="1069" spans="1:12" x14ac:dyDescent="0.2">
      <c r="A1069" s="70">
        <v>44698</v>
      </c>
      <c r="B1069" s="57" t="s">
        <v>182</v>
      </c>
      <c r="C1069" s="57" t="s">
        <v>176</v>
      </c>
      <c r="D1069" s="57" t="s">
        <v>177</v>
      </c>
      <c r="E1069" s="57" t="s">
        <v>178</v>
      </c>
      <c r="F1069" s="57">
        <f t="shared" si="20"/>
        <v>0</v>
      </c>
      <c r="G1069" s="57">
        <v>26.596399999999999</v>
      </c>
      <c r="H1069" s="57">
        <v>28.82</v>
      </c>
      <c r="I1069" s="57">
        <v>27.441400000000002</v>
      </c>
      <c r="J1069" s="33">
        <f t="shared" si="21"/>
        <v>2.2236000000000011</v>
      </c>
      <c r="K1069" s="33">
        <f t="shared" si="22"/>
        <v>0.84500000000000242</v>
      </c>
      <c r="L1069" s="57">
        <v>4</v>
      </c>
    </row>
    <row r="1070" spans="1:12" x14ac:dyDescent="0.2">
      <c r="A1070" s="70">
        <v>44706</v>
      </c>
      <c r="B1070" s="57">
        <v>2004</v>
      </c>
      <c r="C1070" s="57" t="s">
        <v>176</v>
      </c>
      <c r="D1070" s="57" t="s">
        <v>177</v>
      </c>
      <c r="E1070" s="57" t="s">
        <v>175</v>
      </c>
      <c r="F1070" s="57">
        <f t="shared" si="20"/>
        <v>0</v>
      </c>
      <c r="G1070" s="57">
        <v>7.1997999999999998</v>
      </c>
      <c r="H1070" s="57">
        <v>7.6097000000000001</v>
      </c>
      <c r="I1070" s="57">
        <v>7.4196</v>
      </c>
      <c r="J1070" s="33">
        <f t="shared" si="21"/>
        <v>0.40990000000000038</v>
      </c>
      <c r="K1070" s="33">
        <f t="shared" si="22"/>
        <v>0.21980000000000022</v>
      </c>
    </row>
    <row r="1071" spans="1:12" x14ac:dyDescent="0.2">
      <c r="A1071" s="70">
        <v>44698</v>
      </c>
      <c r="B1071" s="57" t="s">
        <v>181</v>
      </c>
      <c r="C1071" s="57" t="s">
        <v>176</v>
      </c>
      <c r="D1071" s="57" t="s">
        <v>177</v>
      </c>
      <c r="E1071" s="57" t="s">
        <v>178</v>
      </c>
      <c r="F1071" s="57">
        <f t="shared" si="20"/>
        <v>0</v>
      </c>
      <c r="G1071" s="57">
        <v>68.328500000000005</v>
      </c>
      <c r="H1071" s="57">
        <v>74.917500000000004</v>
      </c>
      <c r="I1071" s="57">
        <v>70.321899999999999</v>
      </c>
      <c r="J1071" s="33">
        <f t="shared" si="21"/>
        <v>6.5889999999999986</v>
      </c>
      <c r="K1071" s="33">
        <f t="shared" si="22"/>
        <v>1.9933999999999941</v>
      </c>
      <c r="L1071" s="57">
        <v>1</v>
      </c>
    </row>
    <row r="1072" spans="1:12" x14ac:dyDescent="0.2">
      <c r="A1072" s="70">
        <v>44691</v>
      </c>
      <c r="B1072" s="57" t="s">
        <v>142</v>
      </c>
      <c r="C1072" s="57" t="s">
        <v>176</v>
      </c>
      <c r="D1072" s="57" t="s">
        <v>177</v>
      </c>
      <c r="E1072" s="57" t="s">
        <v>175</v>
      </c>
      <c r="F1072" s="57">
        <f t="shared" si="20"/>
        <v>0</v>
      </c>
      <c r="G1072" s="57">
        <v>6.3273000000000001</v>
      </c>
      <c r="H1072" s="57">
        <v>7.5937000000000001</v>
      </c>
      <c r="I1072" s="57">
        <v>6.7552000000000003</v>
      </c>
      <c r="J1072" s="33">
        <f t="shared" si="21"/>
        <v>1.2664</v>
      </c>
      <c r="K1072" s="33">
        <f t="shared" si="22"/>
        <v>0.42790000000000017</v>
      </c>
      <c r="L1072" s="57">
        <v>3</v>
      </c>
    </row>
    <row r="1073" spans="1:12" x14ac:dyDescent="0.2">
      <c r="A1073" s="70">
        <v>44706</v>
      </c>
      <c r="B1073" s="57">
        <v>2089</v>
      </c>
      <c r="C1073" s="57" t="s">
        <v>176</v>
      </c>
      <c r="D1073" s="57" t="s">
        <v>177</v>
      </c>
      <c r="E1073" s="57" t="s">
        <v>178</v>
      </c>
      <c r="F1073" s="57">
        <f t="shared" si="20"/>
        <v>0</v>
      </c>
      <c r="G1073" s="57">
        <v>7.3209</v>
      </c>
      <c r="H1073" s="57">
        <v>9.1509999999999998</v>
      </c>
      <c r="I1073" s="57">
        <v>8.3010000000000002</v>
      </c>
      <c r="J1073" s="33">
        <f t="shared" si="21"/>
        <v>1.8300999999999998</v>
      </c>
      <c r="K1073" s="33">
        <f t="shared" si="22"/>
        <v>0.98010000000000019</v>
      </c>
    </row>
    <row r="1074" spans="1:12" x14ac:dyDescent="0.2">
      <c r="A1074" s="70">
        <v>44698</v>
      </c>
      <c r="B1074" s="57" t="s">
        <v>181</v>
      </c>
      <c r="C1074" s="57" t="s">
        <v>176</v>
      </c>
      <c r="D1074" s="57" t="s">
        <v>177</v>
      </c>
      <c r="E1074" s="57" t="s">
        <v>178</v>
      </c>
      <c r="F1074" s="57">
        <f t="shared" si="20"/>
        <v>0</v>
      </c>
      <c r="G1074" s="57">
        <v>67.270200000000003</v>
      </c>
      <c r="H1074" s="57">
        <v>77.188000000000002</v>
      </c>
      <c r="I1074" s="57">
        <v>69.804000000000002</v>
      </c>
      <c r="J1074" s="33">
        <f t="shared" si="21"/>
        <v>9.9177999999999997</v>
      </c>
      <c r="K1074" s="33">
        <f t="shared" si="22"/>
        <v>2.5337999999999994</v>
      </c>
      <c r="L1074" s="57">
        <v>2.1</v>
      </c>
    </row>
    <row r="1075" spans="1:12" x14ac:dyDescent="0.2">
      <c r="A1075" s="70">
        <v>44712</v>
      </c>
      <c r="B1075" s="57" t="s">
        <v>142</v>
      </c>
      <c r="C1075" s="57" t="s">
        <v>176</v>
      </c>
      <c r="D1075" s="57" t="s">
        <v>177</v>
      </c>
      <c r="E1075" s="57" t="s">
        <v>175</v>
      </c>
      <c r="F1075" s="57">
        <f t="shared" si="20"/>
        <v>0</v>
      </c>
      <c r="G1075" s="57">
        <v>25.321100000000001</v>
      </c>
      <c r="H1075" s="57">
        <v>26.208300000000001</v>
      </c>
      <c r="I1075" s="57">
        <v>25.5488</v>
      </c>
      <c r="J1075" s="33">
        <f t="shared" si="21"/>
        <v>0.88719999999999999</v>
      </c>
      <c r="K1075" s="33">
        <f t="shared" si="22"/>
        <v>0.22769999999999868</v>
      </c>
      <c r="L1075" s="57">
        <v>3</v>
      </c>
    </row>
    <row r="1076" spans="1:12" x14ac:dyDescent="0.2">
      <c r="A1076" s="70">
        <v>44706</v>
      </c>
      <c r="B1076" s="57">
        <v>2012</v>
      </c>
      <c r="C1076" s="57" t="s">
        <v>176</v>
      </c>
      <c r="D1076" s="57" t="s">
        <v>177</v>
      </c>
      <c r="E1076" s="57" t="s">
        <v>178</v>
      </c>
      <c r="F1076" s="57">
        <f t="shared" si="20"/>
        <v>0</v>
      </c>
      <c r="G1076" s="57">
        <v>6.3417000000000003</v>
      </c>
      <c r="H1076" s="57">
        <v>7.6235999999999997</v>
      </c>
      <c r="I1076" s="57">
        <v>7.0693999999999999</v>
      </c>
      <c r="J1076" s="33">
        <f t="shared" si="21"/>
        <v>1.2818999999999994</v>
      </c>
      <c r="K1076" s="33">
        <f t="shared" si="22"/>
        <v>0.72769999999999957</v>
      </c>
    </row>
    <row r="1077" spans="1:12" x14ac:dyDescent="0.2">
      <c r="A1077" s="70">
        <v>44712</v>
      </c>
      <c r="B1077" s="57" t="s">
        <v>142</v>
      </c>
      <c r="C1077" s="57" t="s">
        <v>176</v>
      </c>
      <c r="D1077" s="57" t="s">
        <v>177</v>
      </c>
      <c r="E1077" s="57" t="s">
        <v>175</v>
      </c>
      <c r="F1077" s="57">
        <f t="shared" si="20"/>
        <v>0</v>
      </c>
      <c r="G1077" s="57">
        <v>26.240400000000001</v>
      </c>
      <c r="H1077" s="57">
        <v>27.123000000000001</v>
      </c>
      <c r="I1077" s="57">
        <v>26.4038</v>
      </c>
      <c r="J1077" s="33">
        <f t="shared" si="21"/>
        <v>0.88260000000000005</v>
      </c>
      <c r="K1077" s="33">
        <f t="shared" si="22"/>
        <v>0.16339999999999932</v>
      </c>
      <c r="L1077" s="57">
        <v>4</v>
      </c>
    </row>
    <row r="1078" spans="1:12" x14ac:dyDescent="0.2">
      <c r="A1078" s="70">
        <v>44712</v>
      </c>
      <c r="B1078" s="57" t="s">
        <v>182</v>
      </c>
      <c r="C1078" s="57" t="s">
        <v>176</v>
      </c>
      <c r="D1078" s="57" t="s">
        <v>177</v>
      </c>
      <c r="E1078" s="57" t="s">
        <v>178</v>
      </c>
      <c r="F1078" s="57">
        <f t="shared" si="20"/>
        <v>0</v>
      </c>
      <c r="G1078" s="57">
        <v>66.984200000000001</v>
      </c>
      <c r="H1078" s="57">
        <v>70.946100000000001</v>
      </c>
      <c r="I1078" s="57">
        <v>68.206199999999995</v>
      </c>
      <c r="J1078" s="33">
        <f t="shared" si="21"/>
        <v>3.9619</v>
      </c>
      <c r="K1078" s="33">
        <f t="shared" si="22"/>
        <v>1.2219999999999942</v>
      </c>
      <c r="L1078" s="57">
        <v>5</v>
      </c>
    </row>
    <row r="1079" spans="1:12" x14ac:dyDescent="0.2">
      <c r="A1079" s="70">
        <v>44691</v>
      </c>
      <c r="B1079" s="57" t="s">
        <v>182</v>
      </c>
      <c r="C1079" s="57" t="s">
        <v>176</v>
      </c>
      <c r="D1079" s="57" t="s">
        <v>177</v>
      </c>
      <c r="E1079" s="57" t="s">
        <v>178</v>
      </c>
      <c r="F1079" s="57">
        <f t="shared" si="20"/>
        <v>0</v>
      </c>
      <c r="G1079" s="57">
        <v>67.079700000000003</v>
      </c>
      <c r="H1079" s="57">
        <v>70.963399999999993</v>
      </c>
      <c r="I1079" s="57">
        <v>68.400000000000006</v>
      </c>
      <c r="J1079" s="33">
        <f t="shared" si="21"/>
        <v>3.8836999999999904</v>
      </c>
      <c r="K1079" s="33">
        <f t="shared" si="22"/>
        <v>1.3203000000000031</v>
      </c>
      <c r="L1079" s="57">
        <v>3</v>
      </c>
    </row>
    <row r="1080" spans="1:12" x14ac:dyDescent="0.2">
      <c r="A1080" s="70">
        <v>44712</v>
      </c>
      <c r="B1080" s="57" t="s">
        <v>181</v>
      </c>
      <c r="C1080" s="57" t="s">
        <v>176</v>
      </c>
      <c r="D1080" s="57" t="s">
        <v>177</v>
      </c>
      <c r="E1080" s="57" t="s">
        <v>178</v>
      </c>
      <c r="F1080" s="57">
        <f t="shared" si="20"/>
        <v>0</v>
      </c>
      <c r="G1080" s="57">
        <v>68.377899999999997</v>
      </c>
      <c r="H1080" s="57">
        <v>72.725800000000007</v>
      </c>
      <c r="I1080" s="57">
        <v>69.385599999999997</v>
      </c>
      <c r="J1080" s="33">
        <f t="shared" si="21"/>
        <v>4.3479000000000099</v>
      </c>
      <c r="K1080" s="33">
        <f t="shared" si="22"/>
        <v>1.0076999999999998</v>
      </c>
      <c r="L1080" s="57">
        <v>1</v>
      </c>
    </row>
    <row r="1081" spans="1:12" x14ac:dyDescent="0.2">
      <c r="A1081" s="70">
        <v>44691</v>
      </c>
      <c r="B1081" s="57" t="s">
        <v>142</v>
      </c>
      <c r="C1081" s="57" t="s">
        <v>176</v>
      </c>
      <c r="D1081" s="57" t="s">
        <v>177</v>
      </c>
      <c r="E1081" s="57" t="s">
        <v>178</v>
      </c>
      <c r="F1081" s="57">
        <f t="shared" si="20"/>
        <v>0</v>
      </c>
      <c r="G1081" s="57">
        <v>68.284300000000002</v>
      </c>
      <c r="H1081" s="57">
        <v>70.523600000000002</v>
      </c>
      <c r="I1081" s="57">
        <v>69.193100000000001</v>
      </c>
      <c r="J1081" s="33">
        <f t="shared" si="21"/>
        <v>2.2393000000000001</v>
      </c>
      <c r="K1081" s="33">
        <f t="shared" si="22"/>
        <v>0.90879999999999939</v>
      </c>
      <c r="L1081" s="57">
        <v>5</v>
      </c>
    </row>
    <row r="1082" spans="1:12" x14ac:dyDescent="0.2">
      <c r="A1082" s="70">
        <v>44698</v>
      </c>
      <c r="B1082" s="57" t="s">
        <v>181</v>
      </c>
      <c r="C1082" s="57" t="s">
        <v>176</v>
      </c>
      <c r="D1082" s="57" t="s">
        <v>177</v>
      </c>
      <c r="E1082" s="57" t="s">
        <v>178</v>
      </c>
      <c r="F1082" s="57">
        <f t="shared" si="20"/>
        <v>0</v>
      </c>
      <c r="G1082" s="57">
        <v>67.634600000000006</v>
      </c>
      <c r="H1082" s="57">
        <v>76.404700000000005</v>
      </c>
      <c r="I1082" s="57">
        <v>69.793000000000006</v>
      </c>
      <c r="J1082" s="33">
        <f t="shared" si="21"/>
        <v>8.7700999999999993</v>
      </c>
      <c r="K1082" s="33">
        <f t="shared" si="22"/>
        <v>2.1584000000000003</v>
      </c>
      <c r="L1082" s="57">
        <v>2.2000000000000002</v>
      </c>
    </row>
    <row r="1083" spans="1:12" x14ac:dyDescent="0.2">
      <c r="A1083" s="70">
        <v>44706</v>
      </c>
      <c r="B1083" s="57">
        <v>2007</v>
      </c>
      <c r="C1083" s="57" t="s">
        <v>176</v>
      </c>
      <c r="D1083" s="57" t="s">
        <v>177</v>
      </c>
      <c r="E1083" s="57" t="s">
        <v>175</v>
      </c>
      <c r="F1083" s="57">
        <f t="shared" si="20"/>
        <v>0</v>
      </c>
      <c r="G1083" s="57">
        <v>7.2198000000000002</v>
      </c>
      <c r="H1083" s="57">
        <v>7.7037000000000004</v>
      </c>
      <c r="I1083" s="57">
        <v>7.4816000000000003</v>
      </c>
      <c r="J1083" s="33">
        <f t="shared" si="21"/>
        <v>0.48390000000000022</v>
      </c>
      <c r="K1083" s="33">
        <f t="shared" si="22"/>
        <v>0.26180000000000003</v>
      </c>
    </row>
    <row r="1084" spans="1:12" x14ac:dyDescent="0.2">
      <c r="A1084" s="70">
        <v>44712</v>
      </c>
      <c r="B1084" s="57" t="s">
        <v>182</v>
      </c>
      <c r="C1084" s="57" t="s">
        <v>176</v>
      </c>
      <c r="D1084" s="57" t="s">
        <v>177</v>
      </c>
      <c r="E1084" s="57" t="s">
        <v>60</v>
      </c>
      <c r="F1084" s="57">
        <f t="shared" si="20"/>
        <v>0</v>
      </c>
      <c r="G1084" s="57">
        <v>68.036199999999994</v>
      </c>
      <c r="H1084" s="57">
        <v>70.909700000000001</v>
      </c>
      <c r="I1084" s="57">
        <v>68.988</v>
      </c>
      <c r="J1084" s="33">
        <f t="shared" si="21"/>
        <v>2.873500000000007</v>
      </c>
      <c r="K1084" s="33">
        <f t="shared" si="22"/>
        <v>0.95180000000000575</v>
      </c>
      <c r="L1084" s="57">
        <v>3</v>
      </c>
    </row>
    <row r="1085" spans="1:12" x14ac:dyDescent="0.2">
      <c r="A1085" s="70">
        <v>44712</v>
      </c>
      <c r="B1085" s="57" t="s">
        <v>182</v>
      </c>
      <c r="C1085" s="57" t="s">
        <v>176</v>
      </c>
      <c r="D1085" s="57" t="s">
        <v>177</v>
      </c>
      <c r="E1085" s="57" t="s">
        <v>178</v>
      </c>
      <c r="F1085" s="57">
        <f t="shared" si="20"/>
        <v>0</v>
      </c>
      <c r="G1085" s="57">
        <v>67.800600000000003</v>
      </c>
      <c r="H1085" s="57">
        <v>70.245999999999995</v>
      </c>
      <c r="I1085" s="57">
        <v>68.858000000000004</v>
      </c>
      <c r="J1085" s="33">
        <f t="shared" si="21"/>
        <v>2.4453999999999922</v>
      </c>
      <c r="K1085" s="33">
        <f t="shared" si="22"/>
        <v>1.0574000000000012</v>
      </c>
      <c r="L1085" s="57">
        <v>4</v>
      </c>
    </row>
    <row r="1086" spans="1:12" x14ac:dyDescent="0.2">
      <c r="A1086" s="70">
        <v>44691</v>
      </c>
      <c r="B1086" s="57" t="s">
        <v>182</v>
      </c>
      <c r="C1086" s="57" t="s">
        <v>176</v>
      </c>
      <c r="D1086" s="57" t="s">
        <v>177</v>
      </c>
      <c r="E1086" s="57" t="s">
        <v>175</v>
      </c>
      <c r="F1086" s="57">
        <f t="shared" si="20"/>
        <v>0</v>
      </c>
      <c r="G1086" s="57">
        <v>7.3041999999999998</v>
      </c>
      <c r="H1086" s="57">
        <v>8.5961999999999996</v>
      </c>
      <c r="I1086" s="57">
        <v>7.7163000000000004</v>
      </c>
      <c r="J1086" s="33">
        <f t="shared" si="21"/>
        <v>1.2919999999999998</v>
      </c>
      <c r="K1086" s="33">
        <f t="shared" si="22"/>
        <v>0.41210000000000058</v>
      </c>
      <c r="L1086" s="57">
        <v>3</v>
      </c>
    </row>
    <row r="1087" spans="1:12" x14ac:dyDescent="0.2">
      <c r="A1087" s="70">
        <v>44691</v>
      </c>
      <c r="B1087" s="57" t="s">
        <v>181</v>
      </c>
      <c r="C1087" s="57" t="s">
        <v>176</v>
      </c>
      <c r="D1087" s="57" t="s">
        <v>177</v>
      </c>
      <c r="E1087" s="57" t="s">
        <v>175</v>
      </c>
      <c r="F1087" s="57">
        <f t="shared" si="20"/>
        <v>0</v>
      </c>
      <c r="G1087" s="57">
        <v>7.3369</v>
      </c>
      <c r="H1087" s="57">
        <v>8.0292999999999992</v>
      </c>
      <c r="I1087" s="57">
        <v>7.6262999999999996</v>
      </c>
      <c r="J1087" s="33">
        <f t="shared" si="21"/>
        <v>0.69239999999999924</v>
      </c>
      <c r="K1087" s="33">
        <f t="shared" si="22"/>
        <v>0.28939999999999966</v>
      </c>
      <c r="L1087" s="57">
        <v>5</v>
      </c>
    </row>
    <row r="1088" spans="1:12" x14ac:dyDescent="0.2">
      <c r="A1088" s="70">
        <v>44706</v>
      </c>
      <c r="B1088" s="57">
        <v>2090</v>
      </c>
      <c r="C1088" s="57" t="s">
        <v>176</v>
      </c>
      <c r="D1088" s="57" t="s">
        <v>174</v>
      </c>
      <c r="E1088" s="57" t="s">
        <v>175</v>
      </c>
      <c r="F1088" s="57">
        <f t="shared" si="20"/>
        <v>1</v>
      </c>
      <c r="G1088" s="57">
        <v>7.2808000000000002</v>
      </c>
      <c r="H1088" s="57">
        <v>7.7041000000000004</v>
      </c>
      <c r="I1088" s="57">
        <v>7.5415000000000001</v>
      </c>
      <c r="J1088" s="33">
        <f t="shared" si="21"/>
        <v>0.42330000000000023</v>
      </c>
      <c r="K1088" s="33">
        <f t="shared" si="22"/>
        <v>0.26069999999999993</v>
      </c>
    </row>
    <row r="1089" spans="1:12" x14ac:dyDescent="0.2">
      <c r="A1089" s="70">
        <v>44698</v>
      </c>
      <c r="B1089" s="57" t="s">
        <v>142</v>
      </c>
      <c r="C1089" s="57" t="s">
        <v>176</v>
      </c>
      <c r="D1089" s="57" t="s">
        <v>177</v>
      </c>
      <c r="E1089" s="57" t="s">
        <v>175</v>
      </c>
      <c r="F1089" s="57">
        <f t="shared" si="20"/>
        <v>0</v>
      </c>
      <c r="G1089" s="57">
        <v>7.3902999999999999</v>
      </c>
      <c r="H1089" s="57">
        <v>7.8605999999999998</v>
      </c>
      <c r="I1089" s="57">
        <v>7.5955000000000004</v>
      </c>
      <c r="J1089" s="33">
        <f t="shared" si="21"/>
        <v>0.47029999999999994</v>
      </c>
      <c r="K1089" s="33">
        <f t="shared" si="22"/>
        <v>0.20520000000000049</v>
      </c>
      <c r="L1089" s="57">
        <v>4</v>
      </c>
    </row>
    <row r="1090" spans="1:12" x14ac:dyDescent="0.2">
      <c r="A1090" s="70">
        <v>44706</v>
      </c>
      <c r="B1090" s="57">
        <v>2015</v>
      </c>
      <c r="C1090" s="57" t="s">
        <v>176</v>
      </c>
      <c r="D1090" s="57" t="s">
        <v>174</v>
      </c>
      <c r="E1090" s="57" t="s">
        <v>175</v>
      </c>
      <c r="F1090" s="57">
        <f t="shared" si="20"/>
        <v>1</v>
      </c>
      <c r="G1090" s="57">
        <v>6.3529999999999998</v>
      </c>
      <c r="H1090" s="57">
        <v>6.7370999999999999</v>
      </c>
      <c r="I1090" s="57">
        <v>6.6281999999999996</v>
      </c>
      <c r="J1090" s="33">
        <f t="shared" si="21"/>
        <v>0.38410000000000011</v>
      </c>
      <c r="K1090" s="33">
        <f t="shared" si="22"/>
        <v>0.27519999999999989</v>
      </c>
    </row>
    <row r="1091" spans="1:12" x14ac:dyDescent="0.2">
      <c r="A1091" s="70">
        <v>44706</v>
      </c>
      <c r="B1091" s="57">
        <v>2093</v>
      </c>
      <c r="C1091" s="57" t="s">
        <v>176</v>
      </c>
      <c r="D1091" s="57" t="s">
        <v>174</v>
      </c>
      <c r="E1091" s="57" t="s">
        <v>178</v>
      </c>
      <c r="F1091" s="57">
        <f t="shared" si="20"/>
        <v>1</v>
      </c>
      <c r="G1091" s="57">
        <v>7.3452000000000002</v>
      </c>
      <c r="H1091" s="57">
        <v>9.2507999999999999</v>
      </c>
      <c r="I1091" s="57">
        <v>8.5037000000000003</v>
      </c>
      <c r="J1091" s="33">
        <f t="shared" si="21"/>
        <v>1.9055999999999997</v>
      </c>
      <c r="K1091" s="33">
        <f t="shared" si="22"/>
        <v>1.1585000000000001</v>
      </c>
    </row>
    <row r="1092" spans="1:12" x14ac:dyDescent="0.2">
      <c r="A1092" s="70">
        <v>44691</v>
      </c>
      <c r="B1092" s="57" t="s">
        <v>182</v>
      </c>
      <c r="C1092" s="57" t="s">
        <v>176</v>
      </c>
      <c r="D1092" s="57" t="s">
        <v>177</v>
      </c>
      <c r="E1092" s="57" t="s">
        <v>175</v>
      </c>
      <c r="F1092" s="57">
        <f t="shared" si="20"/>
        <v>0</v>
      </c>
      <c r="G1092" s="57">
        <v>7.3952</v>
      </c>
      <c r="H1092" s="57">
        <v>8.3620000000000001</v>
      </c>
      <c r="I1092" s="57">
        <v>7.7291999999999996</v>
      </c>
      <c r="J1092" s="33">
        <f t="shared" si="21"/>
        <v>0.9668000000000001</v>
      </c>
      <c r="K1092" s="33">
        <f t="shared" si="22"/>
        <v>0.33399999999999963</v>
      </c>
      <c r="L1092" s="57">
        <v>4</v>
      </c>
    </row>
    <row r="1093" spans="1:12" x14ac:dyDescent="0.2">
      <c r="A1093" s="70">
        <v>44698</v>
      </c>
      <c r="B1093" s="57" t="s">
        <v>142</v>
      </c>
      <c r="C1093" s="57" t="s">
        <v>176</v>
      </c>
      <c r="D1093" s="57" t="s">
        <v>177</v>
      </c>
      <c r="E1093" s="57" t="s">
        <v>178</v>
      </c>
      <c r="F1093" s="57">
        <f t="shared" si="20"/>
        <v>0</v>
      </c>
      <c r="G1093" s="57">
        <v>67.903400000000005</v>
      </c>
      <c r="H1093" s="57">
        <v>70.269099999999995</v>
      </c>
      <c r="I1093" s="57">
        <v>68.826599999999999</v>
      </c>
      <c r="J1093" s="33">
        <f t="shared" si="21"/>
        <v>2.3656999999999897</v>
      </c>
      <c r="K1093" s="33">
        <f t="shared" si="22"/>
        <v>0.92319999999999425</v>
      </c>
      <c r="L1093" s="57">
        <v>5</v>
      </c>
    </row>
    <row r="1094" spans="1:12" x14ac:dyDescent="0.2">
      <c r="A1094" s="70">
        <v>44712</v>
      </c>
      <c r="B1094" s="57" t="s">
        <v>142</v>
      </c>
      <c r="C1094" s="57" t="s">
        <v>176</v>
      </c>
      <c r="D1094" s="57" t="s">
        <v>177</v>
      </c>
      <c r="E1094" s="57" t="s">
        <v>178</v>
      </c>
      <c r="F1094" s="57">
        <f t="shared" si="20"/>
        <v>0</v>
      </c>
      <c r="G1094" s="57">
        <v>67.513900000000007</v>
      </c>
      <c r="H1094" s="57">
        <v>69.872200000000007</v>
      </c>
      <c r="I1094" s="57">
        <v>68.432199999999995</v>
      </c>
      <c r="J1094" s="33">
        <f t="shared" si="21"/>
        <v>2.3582999999999998</v>
      </c>
      <c r="K1094" s="33">
        <f t="shared" si="22"/>
        <v>0.9182999999999879</v>
      </c>
      <c r="L1094" s="57">
        <v>5</v>
      </c>
    </row>
    <row r="1095" spans="1:12" x14ac:dyDescent="0.2">
      <c r="A1095" s="70">
        <v>44712</v>
      </c>
      <c r="B1095" s="57" t="s">
        <v>142</v>
      </c>
      <c r="C1095" s="57" t="s">
        <v>176</v>
      </c>
      <c r="D1095" s="57" t="s">
        <v>177</v>
      </c>
      <c r="E1095" s="57" t="s">
        <v>60</v>
      </c>
      <c r="F1095" s="57">
        <f t="shared" si="20"/>
        <v>0</v>
      </c>
      <c r="G1095" s="57">
        <v>67.468199999999996</v>
      </c>
      <c r="H1095" s="57">
        <v>69.508799999999994</v>
      </c>
      <c r="I1095" s="57">
        <v>68.128600000000006</v>
      </c>
      <c r="J1095" s="33">
        <f t="shared" si="21"/>
        <v>2.0405999999999977</v>
      </c>
      <c r="K1095" s="33">
        <f t="shared" si="22"/>
        <v>0.66040000000000987</v>
      </c>
      <c r="L1095" s="57">
        <v>3</v>
      </c>
    </row>
    <row r="1096" spans="1:12" x14ac:dyDescent="0.2">
      <c r="A1096" s="70">
        <v>44706</v>
      </c>
      <c r="B1096" s="57">
        <v>2088</v>
      </c>
      <c r="C1096" s="57" t="s">
        <v>176</v>
      </c>
      <c r="D1096" s="57" t="s">
        <v>174</v>
      </c>
      <c r="E1096" s="57" t="s">
        <v>175</v>
      </c>
      <c r="F1096" s="57">
        <f t="shared" si="20"/>
        <v>1</v>
      </c>
      <c r="G1096" s="57">
        <v>7.5422000000000002</v>
      </c>
      <c r="H1096" s="57">
        <v>8.3912999999999993</v>
      </c>
      <c r="I1096" s="57">
        <v>8.0663999999999998</v>
      </c>
      <c r="J1096" s="33">
        <f t="shared" si="21"/>
        <v>0.84909999999999908</v>
      </c>
      <c r="K1096" s="33">
        <f t="shared" si="22"/>
        <v>0.52419999999999956</v>
      </c>
    </row>
    <row r="1097" spans="1:12" x14ac:dyDescent="0.2">
      <c r="A1097" s="70">
        <v>44704</v>
      </c>
      <c r="B1097" s="57">
        <v>2375</v>
      </c>
      <c r="C1097" s="57" t="s">
        <v>173</v>
      </c>
      <c r="D1097" s="57" t="s">
        <v>177</v>
      </c>
      <c r="E1097" s="57" t="s">
        <v>175</v>
      </c>
      <c r="F1097" s="57">
        <f t="shared" si="20"/>
        <v>0</v>
      </c>
      <c r="G1097" s="57">
        <v>7.3075999999999999</v>
      </c>
      <c r="H1097" s="57">
        <v>7.4997999999999996</v>
      </c>
      <c r="I1097" s="57">
        <v>7.4161000000000001</v>
      </c>
      <c r="J1097" s="33">
        <f t="shared" si="21"/>
        <v>0.1921999999999997</v>
      </c>
      <c r="K1097" s="33">
        <f t="shared" si="22"/>
        <v>0.10850000000000026</v>
      </c>
    </row>
    <row r="1098" spans="1:12" x14ac:dyDescent="0.2">
      <c r="A1098" s="70">
        <v>44706</v>
      </c>
      <c r="B1098" s="57">
        <v>2092</v>
      </c>
      <c r="C1098" s="57" t="s">
        <v>176</v>
      </c>
      <c r="D1098" s="57" t="s">
        <v>174</v>
      </c>
      <c r="E1098" s="57" t="s">
        <v>175</v>
      </c>
      <c r="F1098" s="57">
        <f t="shared" si="20"/>
        <v>1</v>
      </c>
      <c r="G1098" s="57">
        <v>7.2565999999999997</v>
      </c>
      <c r="H1098" s="57">
        <v>7.7981999999999996</v>
      </c>
      <c r="I1098" s="57">
        <v>7.5490000000000004</v>
      </c>
      <c r="J1098" s="33">
        <f t="shared" si="21"/>
        <v>0.54159999999999986</v>
      </c>
      <c r="K1098" s="33">
        <f t="shared" si="22"/>
        <v>0.29240000000000066</v>
      </c>
    </row>
    <row r="1099" spans="1:12" x14ac:dyDescent="0.2">
      <c r="A1099" s="70">
        <v>44704</v>
      </c>
      <c r="B1099" s="57">
        <v>2376</v>
      </c>
      <c r="C1099" s="57" t="s">
        <v>173</v>
      </c>
      <c r="D1099" s="57" t="s">
        <v>174</v>
      </c>
      <c r="E1099" s="57" t="s">
        <v>175</v>
      </c>
      <c r="F1099" s="57">
        <f t="shared" si="20"/>
        <v>1</v>
      </c>
      <c r="G1099" s="57">
        <v>7.2595000000000001</v>
      </c>
      <c r="H1099" s="57">
        <v>7.4607999999999999</v>
      </c>
      <c r="I1099" s="57">
        <v>7.3917999999999999</v>
      </c>
      <c r="J1099" s="33">
        <f t="shared" si="21"/>
        <v>0.20129999999999981</v>
      </c>
      <c r="K1099" s="33">
        <f t="shared" si="22"/>
        <v>0.13229999999999986</v>
      </c>
    </row>
    <row r="1100" spans="1:12" x14ac:dyDescent="0.2">
      <c r="A1100" s="70">
        <v>44691</v>
      </c>
      <c r="B1100" s="57" t="s">
        <v>181</v>
      </c>
      <c r="C1100" s="57" t="s">
        <v>176</v>
      </c>
      <c r="D1100" s="57" t="s">
        <v>177</v>
      </c>
      <c r="E1100" s="57" t="s">
        <v>175</v>
      </c>
      <c r="F1100" s="57">
        <f t="shared" si="20"/>
        <v>0</v>
      </c>
      <c r="G1100" s="57">
        <v>7.4598000000000004</v>
      </c>
      <c r="H1100" s="57">
        <v>9.7255000000000003</v>
      </c>
      <c r="I1100" s="57">
        <v>7.9861000000000004</v>
      </c>
      <c r="J1100" s="33">
        <f t="shared" si="21"/>
        <v>2.2656999999999998</v>
      </c>
      <c r="K1100" s="33">
        <f t="shared" si="22"/>
        <v>0.52629999999999999</v>
      </c>
      <c r="L1100" s="57">
        <v>2.2000000000000002</v>
      </c>
    </row>
    <row r="1101" spans="1:12" x14ac:dyDescent="0.2">
      <c r="A1101" s="70">
        <v>44698</v>
      </c>
      <c r="B1101" s="57" t="s">
        <v>181</v>
      </c>
      <c r="C1101" s="57" t="s">
        <v>176</v>
      </c>
      <c r="D1101" s="57" t="s">
        <v>177</v>
      </c>
      <c r="E1101" s="57" t="s">
        <v>175</v>
      </c>
      <c r="F1101" s="57">
        <f t="shared" si="20"/>
        <v>0</v>
      </c>
      <c r="G1101" s="57">
        <v>7.3987999999999996</v>
      </c>
      <c r="H1101" s="57">
        <v>9.4837000000000007</v>
      </c>
      <c r="I1101" s="57">
        <v>7.7994000000000003</v>
      </c>
      <c r="J1101" s="33">
        <f t="shared" si="21"/>
        <v>2.0849000000000011</v>
      </c>
      <c r="K1101" s="33">
        <f t="shared" si="22"/>
        <v>0.40060000000000073</v>
      </c>
      <c r="L1101" s="57">
        <v>2.2000000000000002</v>
      </c>
    </row>
    <row r="1102" spans="1:12" x14ac:dyDescent="0.2">
      <c r="A1102" s="70">
        <v>44712</v>
      </c>
      <c r="B1102" s="57" t="s">
        <v>182</v>
      </c>
      <c r="C1102" s="57" t="s">
        <v>176</v>
      </c>
      <c r="D1102" s="57" t="s">
        <v>177</v>
      </c>
      <c r="E1102" s="57" t="s">
        <v>175</v>
      </c>
      <c r="F1102" s="57">
        <f t="shared" si="20"/>
        <v>0</v>
      </c>
      <c r="G1102" s="57">
        <v>25.4421</v>
      </c>
      <c r="H1102" s="57">
        <v>26.387799999999999</v>
      </c>
      <c r="I1102" s="57">
        <v>25.625</v>
      </c>
      <c r="J1102" s="33">
        <f t="shared" si="21"/>
        <v>0.94569999999999865</v>
      </c>
      <c r="K1102" s="33">
        <f t="shared" si="22"/>
        <v>0.18290000000000006</v>
      </c>
      <c r="L1102" s="57">
        <v>3</v>
      </c>
    </row>
    <row r="1103" spans="1:12" x14ac:dyDescent="0.2">
      <c r="A1103" s="70">
        <v>44706</v>
      </c>
      <c r="B1103" s="57">
        <v>2012</v>
      </c>
      <c r="C1103" s="57" t="s">
        <v>176</v>
      </c>
      <c r="D1103" s="57" t="s">
        <v>177</v>
      </c>
      <c r="E1103" s="57" t="s">
        <v>175</v>
      </c>
      <c r="F1103" s="57">
        <f t="shared" si="20"/>
        <v>0</v>
      </c>
      <c r="G1103" s="57">
        <v>7.2885999999999997</v>
      </c>
      <c r="H1103" s="57">
        <v>7.7252999999999998</v>
      </c>
      <c r="I1103" s="57">
        <v>7.5513000000000003</v>
      </c>
      <c r="J1103" s="33">
        <f t="shared" si="21"/>
        <v>0.43670000000000009</v>
      </c>
      <c r="K1103" s="33">
        <f t="shared" si="22"/>
        <v>0.2627000000000006</v>
      </c>
    </row>
    <row r="1104" spans="1:12" x14ac:dyDescent="0.2">
      <c r="A1104" s="70">
        <v>44706</v>
      </c>
      <c r="B1104" s="57">
        <v>1478</v>
      </c>
      <c r="C1104" s="57" t="s">
        <v>176</v>
      </c>
      <c r="D1104" s="57" t="s">
        <v>177</v>
      </c>
      <c r="E1104" s="57" t="s">
        <v>178</v>
      </c>
      <c r="F1104" s="57">
        <f t="shared" si="20"/>
        <v>0</v>
      </c>
      <c r="G1104" s="57">
        <v>6.3311000000000002</v>
      </c>
      <c r="H1104" s="57">
        <v>7.6258999999999997</v>
      </c>
      <c r="I1104" s="57">
        <v>7.0796000000000001</v>
      </c>
      <c r="J1104" s="33">
        <f t="shared" si="21"/>
        <v>1.2947999999999995</v>
      </c>
      <c r="K1104" s="33">
        <f t="shared" si="22"/>
        <v>0.74849999999999994</v>
      </c>
    </row>
    <row r="1105" spans="1:12" x14ac:dyDescent="0.2">
      <c r="A1105" s="70">
        <v>44698</v>
      </c>
      <c r="B1105" s="57" t="s">
        <v>182</v>
      </c>
      <c r="C1105" s="57" t="s">
        <v>176</v>
      </c>
      <c r="D1105" s="57" t="s">
        <v>177</v>
      </c>
      <c r="E1105" s="57" t="s">
        <v>175</v>
      </c>
      <c r="F1105" s="57">
        <f t="shared" si="20"/>
        <v>0</v>
      </c>
      <c r="G1105" s="57">
        <v>7.3483000000000001</v>
      </c>
      <c r="H1105" s="57">
        <v>8.4008000000000003</v>
      </c>
      <c r="I1105" s="57">
        <v>7.7279</v>
      </c>
      <c r="J1105" s="33">
        <f t="shared" si="21"/>
        <v>1.0525000000000002</v>
      </c>
      <c r="K1105" s="33">
        <f t="shared" si="22"/>
        <v>0.37959999999999994</v>
      </c>
      <c r="L1105" s="57">
        <v>5</v>
      </c>
    </row>
    <row r="1106" spans="1:12" x14ac:dyDescent="0.2">
      <c r="A1106" s="70">
        <v>44691</v>
      </c>
      <c r="B1106" s="57" t="s">
        <v>181</v>
      </c>
      <c r="C1106" s="57" t="s">
        <v>176</v>
      </c>
      <c r="D1106" s="57" t="s">
        <v>177</v>
      </c>
      <c r="E1106" s="57" t="s">
        <v>175</v>
      </c>
      <c r="F1106" s="57">
        <f t="shared" si="20"/>
        <v>0</v>
      </c>
      <c r="G1106" s="57">
        <v>7.2275</v>
      </c>
      <c r="H1106" s="57">
        <v>9.3428000000000004</v>
      </c>
      <c r="I1106" s="57">
        <v>7.9657</v>
      </c>
      <c r="J1106" s="33">
        <f t="shared" si="21"/>
        <v>2.1153000000000004</v>
      </c>
      <c r="K1106" s="33">
        <f t="shared" si="22"/>
        <v>0.73819999999999997</v>
      </c>
      <c r="L1106" s="57">
        <v>5</v>
      </c>
    </row>
    <row r="1107" spans="1:12" x14ac:dyDescent="0.2">
      <c r="A1107" s="70">
        <v>44698</v>
      </c>
      <c r="B1107" s="57" t="s">
        <v>181</v>
      </c>
      <c r="C1107" s="57" t="s">
        <v>176</v>
      </c>
      <c r="D1107" s="57" t="s">
        <v>177</v>
      </c>
      <c r="E1107" s="57" t="s">
        <v>175</v>
      </c>
      <c r="F1107" s="57">
        <f t="shared" si="20"/>
        <v>0</v>
      </c>
      <c r="G1107" s="57">
        <v>6.2774000000000001</v>
      </c>
      <c r="H1107" s="57">
        <v>7.9404000000000003</v>
      </c>
      <c r="I1107" s="57">
        <v>6.7176999999999998</v>
      </c>
      <c r="J1107" s="33">
        <f t="shared" si="21"/>
        <v>1.6630000000000003</v>
      </c>
      <c r="K1107" s="33">
        <f t="shared" si="22"/>
        <v>0.44029999999999969</v>
      </c>
      <c r="L1107" s="57">
        <v>5</v>
      </c>
    </row>
    <row r="1108" spans="1:12" x14ac:dyDescent="0.2">
      <c r="A1108" s="70">
        <v>44691</v>
      </c>
      <c r="B1108" s="57" t="s">
        <v>181</v>
      </c>
      <c r="C1108" s="57" t="s">
        <v>176</v>
      </c>
      <c r="D1108" s="57" t="s">
        <v>177</v>
      </c>
      <c r="E1108" s="57" t="s">
        <v>175</v>
      </c>
      <c r="F1108" s="57">
        <f t="shared" si="20"/>
        <v>0</v>
      </c>
      <c r="G1108" s="57">
        <v>7.3571</v>
      </c>
      <c r="H1108" s="57">
        <v>9.7396999999999991</v>
      </c>
      <c r="I1108" s="57">
        <v>7.9024000000000001</v>
      </c>
      <c r="J1108" s="33">
        <f t="shared" si="21"/>
        <v>2.3825999999999992</v>
      </c>
      <c r="K1108" s="33">
        <f t="shared" si="22"/>
        <v>0.54530000000000012</v>
      </c>
      <c r="L1108" s="57">
        <v>2.1</v>
      </c>
    </row>
    <row r="1109" spans="1:12" x14ac:dyDescent="0.2">
      <c r="A1109" s="70">
        <v>44704</v>
      </c>
      <c r="B1109" s="57">
        <v>2371</v>
      </c>
      <c r="C1109" s="57" t="s">
        <v>173</v>
      </c>
      <c r="D1109" s="57" t="s">
        <v>174</v>
      </c>
      <c r="E1109" s="57" t="s">
        <v>175</v>
      </c>
      <c r="F1109" s="57">
        <f t="shared" si="20"/>
        <v>1</v>
      </c>
      <c r="G1109" s="57">
        <v>7.2807000000000004</v>
      </c>
      <c r="H1109" s="57">
        <v>7.6802000000000001</v>
      </c>
      <c r="I1109" s="57">
        <v>7.5149999999999997</v>
      </c>
      <c r="J1109" s="33">
        <f t="shared" si="21"/>
        <v>0.39949999999999974</v>
      </c>
      <c r="K1109" s="33">
        <f t="shared" si="22"/>
        <v>0.23429999999999929</v>
      </c>
    </row>
    <row r="1110" spans="1:12" x14ac:dyDescent="0.2">
      <c r="A1110" s="70">
        <v>44698</v>
      </c>
      <c r="B1110" s="57" t="s">
        <v>181</v>
      </c>
      <c r="C1110" s="57" t="s">
        <v>176</v>
      </c>
      <c r="D1110" s="57" t="s">
        <v>177</v>
      </c>
      <c r="E1110" s="57" t="s">
        <v>175</v>
      </c>
      <c r="F1110" s="57">
        <f t="shared" si="20"/>
        <v>0</v>
      </c>
      <c r="G1110" s="57">
        <v>7.3017000000000003</v>
      </c>
      <c r="H1110" s="57">
        <v>9.8482000000000003</v>
      </c>
      <c r="I1110" s="57">
        <v>8.0554000000000006</v>
      </c>
      <c r="J1110" s="33">
        <f t="shared" si="21"/>
        <v>2.5465</v>
      </c>
      <c r="K1110" s="33">
        <f t="shared" si="22"/>
        <v>0.75370000000000026</v>
      </c>
      <c r="L1110" s="57">
        <v>1</v>
      </c>
    </row>
    <row r="1111" spans="1:12" x14ac:dyDescent="0.2">
      <c r="A1111" s="70">
        <v>44698</v>
      </c>
      <c r="B1111" s="57" t="s">
        <v>142</v>
      </c>
      <c r="C1111" s="57" t="s">
        <v>176</v>
      </c>
      <c r="D1111" s="57" t="s">
        <v>177</v>
      </c>
      <c r="E1111" s="57" t="s">
        <v>178</v>
      </c>
      <c r="F1111" s="57">
        <f t="shared" si="20"/>
        <v>0</v>
      </c>
      <c r="G1111" s="57">
        <v>68.145399999999995</v>
      </c>
      <c r="H1111" s="57">
        <v>70.859099999999998</v>
      </c>
      <c r="I1111" s="57">
        <v>69.291499999999999</v>
      </c>
      <c r="J1111" s="33">
        <f t="shared" si="21"/>
        <v>2.7137000000000029</v>
      </c>
      <c r="K1111" s="33">
        <f t="shared" si="22"/>
        <v>1.1461000000000041</v>
      </c>
      <c r="L1111" s="57">
        <v>1</v>
      </c>
    </row>
    <row r="1112" spans="1:12" x14ac:dyDescent="0.2">
      <c r="A1112" s="70">
        <v>44712</v>
      </c>
      <c r="B1112" s="57" t="s">
        <v>181</v>
      </c>
      <c r="C1112" s="57" t="s">
        <v>176</v>
      </c>
      <c r="D1112" s="57" t="s">
        <v>177</v>
      </c>
      <c r="E1112" s="57" t="s">
        <v>175</v>
      </c>
      <c r="F1112" s="57">
        <f t="shared" si="20"/>
        <v>0</v>
      </c>
      <c r="G1112" s="57">
        <v>25.805099999999999</v>
      </c>
      <c r="H1112" s="57">
        <v>27.0914</v>
      </c>
      <c r="I1112" s="57">
        <v>26.122699999999998</v>
      </c>
      <c r="J1112" s="33">
        <f t="shared" si="21"/>
        <v>1.2863000000000007</v>
      </c>
      <c r="K1112" s="33">
        <f t="shared" si="22"/>
        <v>0.31759999999999877</v>
      </c>
      <c r="L1112" s="57">
        <v>1</v>
      </c>
    </row>
    <row r="1113" spans="1:12" x14ac:dyDescent="0.2">
      <c r="A1113" s="70">
        <v>44691</v>
      </c>
      <c r="B1113" s="57" t="s">
        <v>142</v>
      </c>
      <c r="C1113" s="57" t="s">
        <v>176</v>
      </c>
      <c r="D1113" s="57" t="s">
        <v>177</v>
      </c>
      <c r="E1113" s="57" t="s">
        <v>175</v>
      </c>
      <c r="F1113" s="57">
        <f t="shared" si="20"/>
        <v>0</v>
      </c>
      <c r="G1113" s="57">
        <v>7.4168000000000003</v>
      </c>
      <c r="H1113" s="57">
        <v>8.1981999999999999</v>
      </c>
      <c r="I1113" s="57">
        <v>7.7763999999999998</v>
      </c>
      <c r="J1113" s="33">
        <f t="shared" si="21"/>
        <v>0.78139999999999965</v>
      </c>
      <c r="K1113" s="33">
        <f t="shared" si="22"/>
        <v>0.35959999999999948</v>
      </c>
      <c r="L1113" s="57">
        <v>1</v>
      </c>
    </row>
    <row r="1114" spans="1:12" x14ac:dyDescent="0.2">
      <c r="A1114" s="70">
        <v>44691</v>
      </c>
      <c r="B1114" s="57" t="s">
        <v>182</v>
      </c>
      <c r="C1114" s="57" t="s">
        <v>176</v>
      </c>
      <c r="D1114" s="57" t="s">
        <v>177</v>
      </c>
      <c r="E1114" s="57" t="s">
        <v>175</v>
      </c>
      <c r="F1114" s="57">
        <f t="shared" si="20"/>
        <v>0</v>
      </c>
      <c r="G1114" s="57">
        <v>6.2568999999999999</v>
      </c>
      <c r="H1114" s="57">
        <v>7.3011999999999997</v>
      </c>
      <c r="I1114" s="57">
        <v>6.3787000000000003</v>
      </c>
      <c r="J1114" s="33">
        <f t="shared" si="21"/>
        <v>1.0442999999999998</v>
      </c>
      <c r="K1114" s="33">
        <f t="shared" si="22"/>
        <v>0.12180000000000035</v>
      </c>
      <c r="L1114" s="57">
        <v>5</v>
      </c>
    </row>
    <row r="1115" spans="1:12" x14ac:dyDescent="0.2">
      <c r="A1115" s="70">
        <v>44691</v>
      </c>
      <c r="B1115" s="57" t="s">
        <v>142</v>
      </c>
      <c r="C1115" s="57" t="s">
        <v>176</v>
      </c>
      <c r="D1115" s="57" t="s">
        <v>177</v>
      </c>
      <c r="E1115" s="57" t="s">
        <v>175</v>
      </c>
      <c r="F1115" s="57">
        <f t="shared" si="20"/>
        <v>0</v>
      </c>
      <c r="G1115" s="57">
        <v>7.3807999999999998</v>
      </c>
      <c r="H1115" s="57">
        <v>8.1915999999999993</v>
      </c>
      <c r="I1115" s="57">
        <v>7.7031999999999998</v>
      </c>
      <c r="J1115" s="33">
        <f t="shared" si="21"/>
        <v>0.81079999999999952</v>
      </c>
      <c r="K1115" s="33">
        <f t="shared" si="22"/>
        <v>0.32240000000000002</v>
      </c>
      <c r="L1115" s="57">
        <v>4</v>
      </c>
    </row>
    <row r="1116" spans="1:12" x14ac:dyDescent="0.2">
      <c r="A1116" s="70">
        <v>44706</v>
      </c>
      <c r="B1116" s="57">
        <v>2025</v>
      </c>
      <c r="C1116" s="57" t="s">
        <v>173</v>
      </c>
      <c r="D1116" s="57" t="s">
        <v>174</v>
      </c>
      <c r="E1116" s="57" t="s">
        <v>175</v>
      </c>
      <c r="F1116" s="57">
        <f t="shared" si="20"/>
        <v>1</v>
      </c>
      <c r="G1116" s="57">
        <v>0</v>
      </c>
      <c r="H1116" s="57">
        <v>0.51</v>
      </c>
      <c r="I1116" s="57">
        <v>0.30299999999999999</v>
      </c>
      <c r="J1116" s="33">
        <f t="shared" si="21"/>
        <v>0.51</v>
      </c>
      <c r="K1116" s="33">
        <f t="shared" si="22"/>
        <v>0.30299999999999999</v>
      </c>
    </row>
    <row r="1117" spans="1:12" x14ac:dyDescent="0.2">
      <c r="A1117" s="70">
        <v>44706</v>
      </c>
      <c r="B1117" s="57">
        <v>2021</v>
      </c>
      <c r="C1117" s="57" t="s">
        <v>173</v>
      </c>
      <c r="D1117" s="57" t="s">
        <v>177</v>
      </c>
      <c r="E1117" s="57" t="s">
        <v>178</v>
      </c>
      <c r="F1117" s="57">
        <f t="shared" si="20"/>
        <v>0</v>
      </c>
      <c r="G1117" s="57">
        <v>0</v>
      </c>
      <c r="H1117" s="57">
        <v>1.71</v>
      </c>
      <c r="I1117" s="57">
        <v>0.9355</v>
      </c>
      <c r="J1117" s="33">
        <f t="shared" si="21"/>
        <v>1.71</v>
      </c>
      <c r="K1117" s="33">
        <f t="shared" si="22"/>
        <v>0.9355</v>
      </c>
    </row>
    <row r="1118" spans="1:12" x14ac:dyDescent="0.2">
      <c r="A1118" s="70">
        <v>44706</v>
      </c>
      <c r="B1118" s="57">
        <v>2012</v>
      </c>
      <c r="C1118" s="57" t="s">
        <v>173</v>
      </c>
      <c r="D1118" s="57" t="s">
        <v>177</v>
      </c>
      <c r="E1118" s="57" t="s">
        <v>175</v>
      </c>
      <c r="F1118" s="57">
        <f t="shared" si="20"/>
        <v>0</v>
      </c>
      <c r="G1118" s="57">
        <v>0</v>
      </c>
      <c r="H1118" s="57">
        <v>0.3</v>
      </c>
      <c r="I1118" s="57">
        <v>0.16300000000000001</v>
      </c>
      <c r="J1118" s="33">
        <f t="shared" si="21"/>
        <v>0.3</v>
      </c>
      <c r="K1118" s="33">
        <f t="shared" si="22"/>
        <v>0.16300000000000001</v>
      </c>
    </row>
    <row r="1119" spans="1:12" x14ac:dyDescent="0.2">
      <c r="A1119" s="70">
        <v>44706</v>
      </c>
      <c r="B1119" s="57">
        <v>2027</v>
      </c>
      <c r="C1119" s="57" t="s">
        <v>173</v>
      </c>
      <c r="D1119" s="57" t="s">
        <v>177</v>
      </c>
      <c r="E1119" s="57" t="s">
        <v>178</v>
      </c>
      <c r="F1119" s="57">
        <f t="shared" si="20"/>
        <v>0</v>
      </c>
      <c r="G1119" s="57">
        <v>0</v>
      </c>
      <c r="H1119" s="57">
        <v>4.4400000000000004</v>
      </c>
      <c r="I1119" s="57">
        <v>2.5859999999999999</v>
      </c>
      <c r="J1119" s="33">
        <f t="shared" si="21"/>
        <v>4.4400000000000004</v>
      </c>
      <c r="K1119" s="33">
        <f t="shared" si="22"/>
        <v>2.5859999999999999</v>
      </c>
    </row>
    <row r="1120" spans="1:12" x14ac:dyDescent="0.2">
      <c r="A1120" s="70">
        <v>44706</v>
      </c>
      <c r="B1120" s="57">
        <v>2089</v>
      </c>
      <c r="C1120" s="57" t="s">
        <v>173</v>
      </c>
      <c r="D1120" s="57" t="s">
        <v>177</v>
      </c>
      <c r="E1120" s="57" t="s">
        <v>175</v>
      </c>
      <c r="F1120" s="57">
        <f t="shared" si="20"/>
        <v>0</v>
      </c>
      <c r="G1120" s="57">
        <v>0</v>
      </c>
      <c r="H1120" s="57">
        <v>0.35</v>
      </c>
      <c r="I1120" s="57">
        <v>0.17</v>
      </c>
      <c r="J1120" s="33">
        <f t="shared" si="21"/>
        <v>0.35</v>
      </c>
      <c r="K1120" s="33">
        <f t="shared" si="22"/>
        <v>0.17</v>
      </c>
    </row>
    <row r="1121" spans="1:11" x14ac:dyDescent="0.2">
      <c r="A1121" s="70">
        <v>44706</v>
      </c>
      <c r="B1121" s="57">
        <v>2086</v>
      </c>
      <c r="C1121" s="57" t="s">
        <v>173</v>
      </c>
      <c r="D1121" s="57" t="s">
        <v>177</v>
      </c>
      <c r="E1121" s="57" t="s">
        <v>178</v>
      </c>
      <c r="F1121" s="57">
        <f t="shared" si="20"/>
        <v>0</v>
      </c>
      <c r="G1121" s="57">
        <v>0</v>
      </c>
      <c r="H1121" s="57">
        <v>2.61</v>
      </c>
      <c r="I1121" s="57">
        <v>1.3660000000000001</v>
      </c>
      <c r="J1121" s="33">
        <f t="shared" si="21"/>
        <v>2.61</v>
      </c>
      <c r="K1121" s="33">
        <f t="shared" si="22"/>
        <v>1.3660000000000001</v>
      </c>
    </row>
    <row r="1122" spans="1:11" x14ac:dyDescent="0.2">
      <c r="A1122" s="70">
        <v>44706</v>
      </c>
      <c r="B1122" s="57">
        <v>2091</v>
      </c>
      <c r="C1122" s="57" t="s">
        <v>173</v>
      </c>
      <c r="D1122" s="57" t="s">
        <v>177</v>
      </c>
      <c r="E1122" s="57" t="s">
        <v>178</v>
      </c>
      <c r="F1122" s="57">
        <f t="shared" si="20"/>
        <v>0</v>
      </c>
      <c r="G1122" s="57">
        <v>0</v>
      </c>
      <c r="H1122" s="57">
        <v>2.76</v>
      </c>
      <c r="I1122" s="57">
        <v>1.536</v>
      </c>
      <c r="J1122" s="33">
        <f t="shared" si="21"/>
        <v>2.76</v>
      </c>
      <c r="K1122" s="33">
        <f t="shared" si="22"/>
        <v>1.536</v>
      </c>
    </row>
    <row r="1123" spans="1:11" x14ac:dyDescent="0.2">
      <c r="A1123" s="70">
        <v>44706</v>
      </c>
      <c r="B1123" s="57">
        <v>2092</v>
      </c>
      <c r="C1123" s="57" t="s">
        <v>173</v>
      </c>
      <c r="D1123" s="57" t="s">
        <v>174</v>
      </c>
      <c r="E1123" s="57" t="s">
        <v>178</v>
      </c>
      <c r="F1123" s="57">
        <f t="shared" si="20"/>
        <v>1</v>
      </c>
      <c r="G1123" s="57">
        <v>0</v>
      </c>
      <c r="H1123" s="57">
        <v>0.88</v>
      </c>
      <c r="I1123" s="57">
        <v>0.54390000000000005</v>
      </c>
      <c r="J1123" s="33">
        <f t="shared" si="21"/>
        <v>0.88</v>
      </c>
      <c r="K1123" s="33">
        <f t="shared" si="22"/>
        <v>0.54390000000000005</v>
      </c>
    </row>
    <row r="1124" spans="1:11" x14ac:dyDescent="0.2">
      <c r="A1124" s="70">
        <v>44706</v>
      </c>
      <c r="B1124" s="57">
        <v>2031</v>
      </c>
      <c r="C1124" s="57" t="s">
        <v>173</v>
      </c>
      <c r="D1124" s="57" t="s">
        <v>177</v>
      </c>
      <c r="E1124" s="57" t="s">
        <v>175</v>
      </c>
      <c r="F1124" s="57">
        <f t="shared" si="20"/>
        <v>0</v>
      </c>
      <c r="G1124" s="57">
        <v>0</v>
      </c>
      <c r="H1124" s="57">
        <v>0.31</v>
      </c>
      <c r="I1124" s="57">
        <v>0.17979999999999999</v>
      </c>
      <c r="J1124" s="33">
        <f t="shared" si="21"/>
        <v>0.31</v>
      </c>
      <c r="K1124" s="33">
        <f t="shared" si="22"/>
        <v>0.17979999999999999</v>
      </c>
    </row>
    <row r="1125" spans="1:11" x14ac:dyDescent="0.2">
      <c r="A1125" s="70">
        <v>44706</v>
      </c>
      <c r="B1125" s="57">
        <v>2029</v>
      </c>
      <c r="C1125" s="57" t="s">
        <v>173</v>
      </c>
      <c r="D1125" s="57" t="s">
        <v>177</v>
      </c>
      <c r="E1125" s="57" t="s">
        <v>178</v>
      </c>
      <c r="F1125" s="57">
        <f t="shared" si="20"/>
        <v>0</v>
      </c>
      <c r="G1125" s="57">
        <v>0</v>
      </c>
      <c r="H1125" s="57">
        <v>3.47</v>
      </c>
      <c r="I1125" s="57">
        <v>2.0097999999999998</v>
      </c>
      <c r="J1125" s="33">
        <f t="shared" si="21"/>
        <v>3.47</v>
      </c>
      <c r="K1125" s="33">
        <f t="shared" si="22"/>
        <v>2.0097999999999998</v>
      </c>
    </row>
    <row r="1126" spans="1:11" x14ac:dyDescent="0.2">
      <c r="A1126" s="70">
        <v>44706</v>
      </c>
      <c r="B1126" s="57">
        <v>2087</v>
      </c>
      <c r="C1126" s="57" t="s">
        <v>173</v>
      </c>
      <c r="D1126" s="57" t="s">
        <v>177</v>
      </c>
      <c r="E1126" s="57" t="s">
        <v>178</v>
      </c>
      <c r="F1126" s="57">
        <f t="shared" si="20"/>
        <v>0</v>
      </c>
      <c r="G1126" s="57">
        <v>0</v>
      </c>
      <c r="H1126" s="57">
        <v>1.23</v>
      </c>
      <c r="I1126" s="57">
        <v>0.64180000000000004</v>
      </c>
      <c r="J1126" s="33">
        <f t="shared" si="21"/>
        <v>1.23</v>
      </c>
      <c r="K1126" s="33">
        <f t="shared" si="22"/>
        <v>0.64180000000000004</v>
      </c>
    </row>
    <row r="1127" spans="1:11" x14ac:dyDescent="0.2">
      <c r="A1127" s="70">
        <v>44706</v>
      </c>
      <c r="B1127" s="57">
        <v>2005</v>
      </c>
      <c r="C1127" s="57" t="s">
        <v>173</v>
      </c>
      <c r="D1127" s="57" t="s">
        <v>174</v>
      </c>
      <c r="E1127" s="57" t="s">
        <v>175</v>
      </c>
      <c r="F1127" s="57">
        <f t="shared" si="20"/>
        <v>1</v>
      </c>
      <c r="G1127" s="57">
        <v>0</v>
      </c>
      <c r="H1127" s="57">
        <v>0.97</v>
      </c>
      <c r="I1127" s="57">
        <v>0.53700000000000003</v>
      </c>
      <c r="J1127" s="33">
        <f t="shared" si="21"/>
        <v>0.97</v>
      </c>
      <c r="K1127" s="33">
        <f t="shared" si="22"/>
        <v>0.53700000000000003</v>
      </c>
    </row>
    <row r="1128" spans="1:11" x14ac:dyDescent="0.2">
      <c r="A1128" s="70">
        <v>44706</v>
      </c>
      <c r="B1128" s="57">
        <v>2012</v>
      </c>
      <c r="C1128" s="57" t="s">
        <v>173</v>
      </c>
      <c r="D1128" s="57" t="s">
        <v>174</v>
      </c>
      <c r="E1128" s="57" t="s">
        <v>175</v>
      </c>
      <c r="F1128" s="57">
        <f t="shared" si="20"/>
        <v>1</v>
      </c>
      <c r="G1128" s="57">
        <v>0</v>
      </c>
      <c r="H1128" s="57">
        <v>1.01</v>
      </c>
      <c r="I1128" s="57">
        <v>0.58799999999999997</v>
      </c>
      <c r="J1128" s="33">
        <f t="shared" si="21"/>
        <v>1.01</v>
      </c>
      <c r="K1128" s="33">
        <f t="shared" si="22"/>
        <v>0.58799999999999997</v>
      </c>
    </row>
    <row r="1129" spans="1:11" x14ac:dyDescent="0.2">
      <c r="A1129" s="70">
        <v>44706</v>
      </c>
      <c r="B1129" s="57">
        <v>2030</v>
      </c>
      <c r="C1129" s="57" t="s">
        <v>173</v>
      </c>
      <c r="D1129" s="57" t="s">
        <v>177</v>
      </c>
      <c r="E1129" s="57" t="s">
        <v>178</v>
      </c>
      <c r="F1129" s="57">
        <f t="shared" si="20"/>
        <v>0</v>
      </c>
      <c r="G1129" s="57">
        <v>0</v>
      </c>
      <c r="H1129" s="57">
        <v>2.9</v>
      </c>
      <c r="I1129" s="57">
        <v>1.6620999999999999</v>
      </c>
      <c r="J1129" s="33">
        <f t="shared" si="21"/>
        <v>2.9</v>
      </c>
      <c r="K1129" s="33">
        <f t="shared" si="22"/>
        <v>1.6620999999999999</v>
      </c>
    </row>
    <row r="1130" spans="1:11" x14ac:dyDescent="0.2">
      <c r="A1130" s="70">
        <v>44706</v>
      </c>
      <c r="B1130" s="57">
        <v>2005</v>
      </c>
      <c r="C1130" s="57" t="s">
        <v>173</v>
      </c>
      <c r="D1130" s="57" t="s">
        <v>177</v>
      </c>
      <c r="E1130" s="57" t="s">
        <v>178</v>
      </c>
      <c r="F1130" s="57">
        <f t="shared" si="20"/>
        <v>0</v>
      </c>
      <c r="G1130" s="57">
        <v>0</v>
      </c>
      <c r="H1130" s="57">
        <v>5.1100000000000003</v>
      </c>
      <c r="I1130" s="57">
        <v>2.7511000000000001</v>
      </c>
      <c r="J1130" s="33">
        <f t="shared" si="21"/>
        <v>5.1100000000000003</v>
      </c>
      <c r="K1130" s="33">
        <f t="shared" si="22"/>
        <v>2.7511000000000001</v>
      </c>
    </row>
    <row r="1131" spans="1:11" x14ac:dyDescent="0.2">
      <c r="A1131" s="70">
        <v>44706</v>
      </c>
      <c r="B1131" s="57">
        <v>2006</v>
      </c>
      <c r="C1131" s="57" t="s">
        <v>173</v>
      </c>
      <c r="D1131" s="57" t="s">
        <v>177</v>
      </c>
      <c r="E1131" s="57" t="s">
        <v>178</v>
      </c>
      <c r="F1131" s="57">
        <f t="shared" si="20"/>
        <v>0</v>
      </c>
      <c r="G1131" s="57">
        <v>0</v>
      </c>
      <c r="H1131" s="57">
        <v>3.09</v>
      </c>
      <c r="I1131" s="57">
        <v>1.6786000000000001</v>
      </c>
      <c r="J1131" s="33">
        <f t="shared" si="21"/>
        <v>3.09</v>
      </c>
      <c r="K1131" s="33">
        <f t="shared" si="22"/>
        <v>1.6786000000000001</v>
      </c>
    </row>
    <row r="1132" spans="1:11" x14ac:dyDescent="0.2">
      <c r="A1132" s="70">
        <v>44706</v>
      </c>
      <c r="B1132" s="57">
        <v>2028</v>
      </c>
      <c r="C1132" s="57" t="s">
        <v>173</v>
      </c>
      <c r="D1132" s="57" t="s">
        <v>177</v>
      </c>
      <c r="E1132" s="57" t="s">
        <v>178</v>
      </c>
      <c r="F1132" s="57">
        <f t="shared" si="20"/>
        <v>0</v>
      </c>
      <c r="G1132" s="57">
        <v>0</v>
      </c>
      <c r="H1132" s="57">
        <v>2.15</v>
      </c>
      <c r="I1132" s="57">
        <v>1.1911</v>
      </c>
      <c r="J1132" s="33">
        <f t="shared" si="21"/>
        <v>2.15</v>
      </c>
      <c r="K1132" s="33">
        <f t="shared" si="22"/>
        <v>1.1911</v>
      </c>
    </row>
    <row r="1133" spans="1:11" x14ac:dyDescent="0.2">
      <c r="A1133" s="70">
        <v>44706</v>
      </c>
      <c r="B1133" s="57">
        <v>2008</v>
      </c>
      <c r="C1133" s="57" t="s">
        <v>173</v>
      </c>
      <c r="D1133" s="57" t="s">
        <v>174</v>
      </c>
      <c r="E1133" s="57" t="s">
        <v>175</v>
      </c>
      <c r="F1133" s="57">
        <f t="shared" si="20"/>
        <v>1</v>
      </c>
      <c r="G1133" s="57">
        <v>0</v>
      </c>
      <c r="H1133" s="57">
        <v>0.96</v>
      </c>
      <c r="I1133" s="57">
        <v>0.58960000000000001</v>
      </c>
      <c r="J1133" s="33">
        <f t="shared" si="21"/>
        <v>0.96</v>
      </c>
      <c r="K1133" s="33">
        <f t="shared" si="22"/>
        <v>0.58960000000000001</v>
      </c>
    </row>
    <row r="1134" spans="1:11" x14ac:dyDescent="0.2">
      <c r="A1134" s="70">
        <v>44706</v>
      </c>
      <c r="B1134" s="57">
        <v>2004</v>
      </c>
      <c r="C1134" s="57" t="s">
        <v>173</v>
      </c>
      <c r="D1134" s="57" t="s">
        <v>177</v>
      </c>
      <c r="E1134" s="57" t="s">
        <v>178</v>
      </c>
      <c r="F1134" s="57">
        <f t="shared" si="20"/>
        <v>0</v>
      </c>
      <c r="G1134" s="57">
        <v>0</v>
      </c>
      <c r="H1134" s="57">
        <v>3.23</v>
      </c>
      <c r="I1134" s="57">
        <v>1.8147</v>
      </c>
      <c r="J1134" s="33">
        <f t="shared" si="21"/>
        <v>3.23</v>
      </c>
      <c r="K1134" s="33">
        <f t="shared" si="22"/>
        <v>1.8147</v>
      </c>
    </row>
    <row r="1135" spans="1:11" x14ac:dyDescent="0.2">
      <c r="A1135" s="70">
        <v>44706</v>
      </c>
      <c r="B1135" s="57">
        <v>2027</v>
      </c>
      <c r="C1135" s="57" t="s">
        <v>173</v>
      </c>
      <c r="D1135" s="57" t="s">
        <v>177</v>
      </c>
      <c r="E1135" s="57" t="s">
        <v>175</v>
      </c>
      <c r="F1135" s="57">
        <f t="shared" si="20"/>
        <v>0</v>
      </c>
      <c r="G1135" s="57">
        <v>0</v>
      </c>
      <c r="H1135" s="57">
        <v>0.48</v>
      </c>
      <c r="I1135" s="57">
        <v>0.28889999999999999</v>
      </c>
      <c r="J1135" s="33">
        <f t="shared" si="21"/>
        <v>0.48</v>
      </c>
      <c r="K1135" s="33">
        <f t="shared" si="22"/>
        <v>0.28889999999999999</v>
      </c>
    </row>
    <row r="1136" spans="1:11" x14ac:dyDescent="0.2">
      <c r="A1136" s="70">
        <v>44706</v>
      </c>
      <c r="B1136" s="57">
        <v>2022</v>
      </c>
      <c r="C1136" s="57" t="s">
        <v>173</v>
      </c>
      <c r="D1136" s="57" t="s">
        <v>174</v>
      </c>
      <c r="E1136" s="57" t="s">
        <v>178</v>
      </c>
      <c r="F1136" s="57">
        <f t="shared" si="20"/>
        <v>1</v>
      </c>
      <c r="G1136" s="57">
        <v>0</v>
      </c>
      <c r="H1136" s="57">
        <v>1.17</v>
      </c>
      <c r="I1136" s="57">
        <v>0.74</v>
      </c>
      <c r="J1136" s="33">
        <f t="shared" si="21"/>
        <v>1.17</v>
      </c>
      <c r="K1136" s="33">
        <f t="shared" si="22"/>
        <v>0.74</v>
      </c>
    </row>
    <row r="1137" spans="1:11" x14ac:dyDescent="0.2">
      <c r="A1137" s="70">
        <v>44706</v>
      </c>
      <c r="B1137" s="57">
        <v>2022</v>
      </c>
      <c r="C1137" s="57" t="s">
        <v>173</v>
      </c>
      <c r="D1137" s="57" t="s">
        <v>177</v>
      </c>
      <c r="E1137" s="57" t="s">
        <v>178</v>
      </c>
      <c r="F1137" s="57">
        <f t="shared" si="20"/>
        <v>0</v>
      </c>
      <c r="G1137" s="57">
        <v>0</v>
      </c>
      <c r="H1137" s="57">
        <v>2.73</v>
      </c>
      <c r="I1137" s="57">
        <v>1.587</v>
      </c>
      <c r="J1137" s="33">
        <f t="shared" si="21"/>
        <v>2.73</v>
      </c>
      <c r="K1137" s="33">
        <f t="shared" si="22"/>
        <v>1.587</v>
      </c>
    </row>
    <row r="1138" spans="1:11" x14ac:dyDescent="0.2">
      <c r="A1138" s="70">
        <v>44706</v>
      </c>
      <c r="B1138" s="57">
        <v>2093</v>
      </c>
      <c r="C1138" s="57" t="s">
        <v>173</v>
      </c>
      <c r="D1138" s="57" t="s">
        <v>177</v>
      </c>
      <c r="E1138" s="57" t="s">
        <v>178</v>
      </c>
      <c r="F1138" s="57">
        <f t="shared" si="20"/>
        <v>0</v>
      </c>
      <c r="G1138" s="57">
        <v>0</v>
      </c>
      <c r="H1138" s="57">
        <v>2.33</v>
      </c>
      <c r="I1138" s="57">
        <v>1.3553999999999999</v>
      </c>
      <c r="J1138" s="33">
        <f t="shared" si="21"/>
        <v>2.33</v>
      </c>
      <c r="K1138" s="33">
        <f t="shared" si="22"/>
        <v>1.3553999999999999</v>
      </c>
    </row>
    <row r="1139" spans="1:11" x14ac:dyDescent="0.2">
      <c r="A1139" s="70">
        <v>44706</v>
      </c>
      <c r="B1139" s="57">
        <v>2023</v>
      </c>
      <c r="C1139" s="57" t="s">
        <v>173</v>
      </c>
      <c r="D1139" s="57" t="s">
        <v>174</v>
      </c>
      <c r="E1139" s="57" t="s">
        <v>175</v>
      </c>
      <c r="F1139" s="57">
        <f t="shared" si="20"/>
        <v>1</v>
      </c>
      <c r="G1139" s="57">
        <v>0</v>
      </c>
      <c r="H1139" s="57">
        <v>0.68</v>
      </c>
      <c r="I1139" s="57">
        <v>0.42899999999999999</v>
      </c>
      <c r="J1139" s="33">
        <f t="shared" si="21"/>
        <v>0.68</v>
      </c>
      <c r="K1139" s="33">
        <f t="shared" si="22"/>
        <v>0.42899999999999999</v>
      </c>
    </row>
    <row r="1140" spans="1:11" x14ac:dyDescent="0.2">
      <c r="A1140" s="70">
        <v>44706</v>
      </c>
      <c r="B1140" s="57">
        <v>2085</v>
      </c>
      <c r="C1140" s="57" t="s">
        <v>173</v>
      </c>
      <c r="D1140" s="57" t="s">
        <v>177</v>
      </c>
      <c r="E1140" s="57" t="s">
        <v>175</v>
      </c>
      <c r="F1140" s="57">
        <f t="shared" si="20"/>
        <v>0</v>
      </c>
      <c r="G1140" s="57">
        <v>0</v>
      </c>
      <c r="H1140" s="57">
        <v>0.52</v>
      </c>
      <c r="I1140" s="57">
        <v>0.26740000000000003</v>
      </c>
      <c r="J1140" s="33">
        <f t="shared" si="21"/>
        <v>0.52</v>
      </c>
      <c r="K1140" s="33">
        <f t="shared" si="22"/>
        <v>0.26740000000000003</v>
      </c>
    </row>
    <row r="1141" spans="1:11" x14ac:dyDescent="0.2">
      <c r="A1141" s="70">
        <v>44706</v>
      </c>
      <c r="B1141" s="57">
        <v>2090</v>
      </c>
      <c r="C1141" s="57" t="s">
        <v>173</v>
      </c>
      <c r="D1141" s="57" t="s">
        <v>174</v>
      </c>
      <c r="E1141" s="57" t="s">
        <v>175</v>
      </c>
      <c r="F1141" s="57">
        <f t="shared" si="20"/>
        <v>1</v>
      </c>
      <c r="G1141" s="57">
        <v>0</v>
      </c>
      <c r="H1141" s="57">
        <v>0.18</v>
      </c>
      <c r="I1141" s="57">
        <v>9.9900000000000003E-2</v>
      </c>
      <c r="J1141" s="33">
        <f t="shared" si="21"/>
        <v>0.18</v>
      </c>
      <c r="K1141" s="33">
        <f t="shared" si="22"/>
        <v>9.9900000000000003E-2</v>
      </c>
    </row>
    <row r="1142" spans="1:11" x14ac:dyDescent="0.2">
      <c r="A1142" s="70">
        <v>44706</v>
      </c>
      <c r="B1142" s="57">
        <v>2027</v>
      </c>
      <c r="C1142" s="57" t="s">
        <v>173</v>
      </c>
      <c r="D1142" s="57" t="s">
        <v>174</v>
      </c>
      <c r="E1142" s="57" t="s">
        <v>175</v>
      </c>
      <c r="F1142" s="57">
        <f t="shared" si="20"/>
        <v>1</v>
      </c>
      <c r="G1142" s="57">
        <v>0</v>
      </c>
      <c r="H1142" s="57">
        <v>0.44</v>
      </c>
      <c r="I1142" s="57">
        <v>0.26800000000000002</v>
      </c>
      <c r="J1142" s="33">
        <f t="shared" si="21"/>
        <v>0.44</v>
      </c>
      <c r="K1142" s="33">
        <f t="shared" si="22"/>
        <v>0.26800000000000002</v>
      </c>
    </row>
    <row r="1143" spans="1:11" x14ac:dyDescent="0.2">
      <c r="A1143" s="70">
        <v>44706</v>
      </c>
      <c r="B1143" s="57">
        <v>2029</v>
      </c>
      <c r="C1143" s="57" t="s">
        <v>173</v>
      </c>
      <c r="D1143" s="57" t="s">
        <v>177</v>
      </c>
      <c r="E1143" s="57" t="s">
        <v>175</v>
      </c>
      <c r="F1143" s="57">
        <f t="shared" si="20"/>
        <v>0</v>
      </c>
      <c r="G1143" s="57">
        <v>0</v>
      </c>
      <c r="H1143" s="57">
        <v>0.12</v>
      </c>
      <c r="I1143" s="57">
        <v>7.3099999999999998E-2</v>
      </c>
      <c r="J1143" s="33">
        <f t="shared" si="21"/>
        <v>0.12</v>
      </c>
      <c r="K1143" s="33">
        <f t="shared" si="22"/>
        <v>7.3099999999999998E-2</v>
      </c>
    </row>
    <row r="1144" spans="1:11" x14ac:dyDescent="0.2">
      <c r="A1144" s="70">
        <v>44706</v>
      </c>
      <c r="B1144" s="57">
        <v>2004</v>
      </c>
      <c r="C1144" s="57" t="s">
        <v>173</v>
      </c>
      <c r="D1144" s="57" t="s">
        <v>174</v>
      </c>
      <c r="E1144" s="57" t="s">
        <v>175</v>
      </c>
      <c r="F1144" s="57">
        <f t="shared" si="20"/>
        <v>1</v>
      </c>
      <c r="G1144" s="57">
        <v>0</v>
      </c>
      <c r="H1144" s="57">
        <v>0.38</v>
      </c>
      <c r="I1144" s="57">
        <v>0.21909999999999999</v>
      </c>
      <c r="J1144" s="33">
        <f t="shared" si="21"/>
        <v>0.38</v>
      </c>
      <c r="K1144" s="33">
        <f t="shared" si="22"/>
        <v>0.21909999999999999</v>
      </c>
    </row>
    <row r="1145" spans="1:11" x14ac:dyDescent="0.2">
      <c r="A1145" s="70">
        <v>44706</v>
      </c>
      <c r="B1145" s="57">
        <v>2023</v>
      </c>
      <c r="C1145" s="57" t="s">
        <v>173</v>
      </c>
      <c r="D1145" s="57" t="s">
        <v>177</v>
      </c>
      <c r="E1145" s="57" t="s">
        <v>178</v>
      </c>
      <c r="F1145" s="57">
        <f t="shared" si="20"/>
        <v>0</v>
      </c>
      <c r="G1145" s="57">
        <v>0</v>
      </c>
      <c r="H1145" s="57">
        <v>2.23</v>
      </c>
      <c r="I1145" s="57">
        <v>1.2569999999999999</v>
      </c>
      <c r="J1145" s="33">
        <f t="shared" si="21"/>
        <v>2.23</v>
      </c>
      <c r="K1145" s="33">
        <f t="shared" si="22"/>
        <v>1.2569999999999999</v>
      </c>
    </row>
    <row r="1146" spans="1:11" x14ac:dyDescent="0.2">
      <c r="A1146" s="70">
        <v>44706</v>
      </c>
      <c r="B1146" s="57">
        <v>2088</v>
      </c>
      <c r="C1146" s="57" t="s">
        <v>173</v>
      </c>
      <c r="D1146" s="57" t="s">
        <v>177</v>
      </c>
      <c r="E1146" s="57" t="s">
        <v>175</v>
      </c>
      <c r="F1146" s="57">
        <f t="shared" si="20"/>
        <v>0</v>
      </c>
      <c r="G1146" s="57">
        <v>0</v>
      </c>
      <c r="H1146" s="57">
        <v>0.44</v>
      </c>
      <c r="I1146" s="57">
        <v>0.2223</v>
      </c>
      <c r="J1146" s="33">
        <f t="shared" si="21"/>
        <v>0.44</v>
      </c>
      <c r="K1146" s="33">
        <f t="shared" si="22"/>
        <v>0.2223</v>
      </c>
    </row>
    <row r="1147" spans="1:11" x14ac:dyDescent="0.2">
      <c r="A1147" s="70">
        <v>44706</v>
      </c>
      <c r="B1147" s="57">
        <v>1478</v>
      </c>
      <c r="C1147" s="57" t="s">
        <v>173</v>
      </c>
      <c r="D1147" s="57" t="s">
        <v>177</v>
      </c>
      <c r="E1147" s="57" t="s">
        <v>175</v>
      </c>
      <c r="F1147" s="57">
        <f t="shared" si="20"/>
        <v>0</v>
      </c>
      <c r="G1147" s="57">
        <v>0</v>
      </c>
      <c r="H1147" s="57">
        <v>0.51</v>
      </c>
      <c r="I1147" s="57">
        <v>0.26100000000000001</v>
      </c>
      <c r="J1147" s="33">
        <f t="shared" si="21"/>
        <v>0.51</v>
      </c>
      <c r="K1147" s="33">
        <f t="shared" si="22"/>
        <v>0.26100000000000001</v>
      </c>
    </row>
    <row r="1148" spans="1:11" x14ac:dyDescent="0.2">
      <c r="A1148" s="70">
        <v>44706</v>
      </c>
      <c r="B1148" s="57">
        <v>2026</v>
      </c>
      <c r="C1148" s="57" t="s">
        <v>173</v>
      </c>
      <c r="D1148" s="57" t="s">
        <v>177</v>
      </c>
      <c r="E1148" s="57" t="s">
        <v>178</v>
      </c>
      <c r="F1148" s="57">
        <f t="shared" si="20"/>
        <v>0</v>
      </c>
      <c r="G1148" s="57">
        <v>0</v>
      </c>
      <c r="H1148" s="57">
        <v>2.08</v>
      </c>
      <c r="I1148" s="57">
        <v>1.1422000000000001</v>
      </c>
      <c r="J1148" s="33">
        <f t="shared" si="21"/>
        <v>2.08</v>
      </c>
      <c r="K1148" s="33">
        <f t="shared" si="22"/>
        <v>1.1422000000000001</v>
      </c>
    </row>
    <row r="1149" spans="1:11" x14ac:dyDescent="0.2">
      <c r="A1149" s="70">
        <v>44706</v>
      </c>
      <c r="B1149" s="57">
        <v>2028</v>
      </c>
      <c r="C1149" s="57" t="s">
        <v>173</v>
      </c>
      <c r="D1149" s="57" t="s">
        <v>174</v>
      </c>
      <c r="E1149" s="57" t="s">
        <v>175</v>
      </c>
      <c r="F1149" s="57">
        <f t="shared" si="20"/>
        <v>1</v>
      </c>
      <c r="G1149" s="57">
        <v>0</v>
      </c>
      <c r="H1149" s="57">
        <v>0.28999999999999998</v>
      </c>
      <c r="I1149" s="57">
        <v>0.17050000000000001</v>
      </c>
      <c r="J1149" s="33">
        <f t="shared" si="21"/>
        <v>0.28999999999999998</v>
      </c>
      <c r="K1149" s="33">
        <f t="shared" si="22"/>
        <v>0.17050000000000001</v>
      </c>
    </row>
    <row r="1150" spans="1:11" x14ac:dyDescent="0.2">
      <c r="A1150" s="70">
        <v>44706</v>
      </c>
      <c r="B1150" s="57">
        <v>2025</v>
      </c>
      <c r="C1150" s="57" t="s">
        <v>173</v>
      </c>
      <c r="D1150" s="57" t="s">
        <v>177</v>
      </c>
      <c r="E1150" s="57" t="s">
        <v>175</v>
      </c>
      <c r="F1150" s="57">
        <f t="shared" si="20"/>
        <v>0</v>
      </c>
      <c r="G1150" s="57">
        <v>0</v>
      </c>
      <c r="H1150" s="57">
        <v>0.26</v>
      </c>
      <c r="I1150" s="57">
        <v>0.1522</v>
      </c>
      <c r="J1150" s="33">
        <f t="shared" si="21"/>
        <v>0.26</v>
      </c>
      <c r="K1150" s="33">
        <f t="shared" si="22"/>
        <v>0.1522</v>
      </c>
    </row>
    <row r="1151" spans="1:11" x14ac:dyDescent="0.2">
      <c r="A1151" s="70">
        <v>44706</v>
      </c>
      <c r="B1151" s="57">
        <v>2031</v>
      </c>
      <c r="C1151" s="57" t="s">
        <v>173</v>
      </c>
      <c r="D1151" s="57" t="s">
        <v>177</v>
      </c>
      <c r="E1151" s="57" t="s">
        <v>178</v>
      </c>
      <c r="F1151" s="57">
        <f t="shared" si="20"/>
        <v>0</v>
      </c>
      <c r="G1151" s="57">
        <v>0</v>
      </c>
      <c r="H1151" s="57">
        <v>2.4</v>
      </c>
      <c r="I1151" s="57">
        <v>1.3172999999999999</v>
      </c>
      <c r="J1151" s="33">
        <f t="shared" si="21"/>
        <v>2.4</v>
      </c>
      <c r="K1151" s="33">
        <f t="shared" si="22"/>
        <v>1.3172999999999999</v>
      </c>
    </row>
    <row r="1152" spans="1:11" x14ac:dyDescent="0.2">
      <c r="A1152" s="70">
        <v>44706</v>
      </c>
      <c r="B1152" s="57">
        <v>2092</v>
      </c>
      <c r="C1152" s="57" t="s">
        <v>173</v>
      </c>
      <c r="D1152" s="57" t="s">
        <v>177</v>
      </c>
      <c r="E1152" s="57" t="s">
        <v>178</v>
      </c>
      <c r="F1152" s="57">
        <f t="shared" si="20"/>
        <v>0</v>
      </c>
      <c r="G1152" s="57">
        <v>0</v>
      </c>
      <c r="H1152" s="57">
        <v>2.02</v>
      </c>
      <c r="I1152" s="57">
        <v>1.1236999999999999</v>
      </c>
      <c r="J1152" s="33">
        <f t="shared" si="21"/>
        <v>2.02</v>
      </c>
      <c r="K1152" s="33">
        <f t="shared" si="22"/>
        <v>1.1236999999999999</v>
      </c>
    </row>
    <row r="1153" spans="1:11" x14ac:dyDescent="0.2">
      <c r="A1153" s="70">
        <v>44706</v>
      </c>
      <c r="B1153" s="57">
        <v>2020</v>
      </c>
      <c r="C1153" s="57" t="s">
        <v>173</v>
      </c>
      <c r="D1153" s="57" t="s">
        <v>177</v>
      </c>
      <c r="E1153" s="57" t="s">
        <v>175</v>
      </c>
      <c r="F1153" s="57">
        <f t="shared" si="20"/>
        <v>0</v>
      </c>
      <c r="G1153" s="57">
        <v>0</v>
      </c>
      <c r="H1153" s="57">
        <v>0.57999999999999996</v>
      </c>
      <c r="I1153" s="57">
        <v>0.318</v>
      </c>
      <c r="J1153" s="33">
        <f t="shared" si="21"/>
        <v>0.57999999999999996</v>
      </c>
      <c r="K1153" s="33">
        <f t="shared" si="22"/>
        <v>0.318</v>
      </c>
    </row>
    <row r="1154" spans="1:11" x14ac:dyDescent="0.2">
      <c r="A1154" s="70">
        <v>44706</v>
      </c>
      <c r="B1154" s="57">
        <v>2090</v>
      </c>
      <c r="C1154" s="57" t="s">
        <v>173</v>
      </c>
      <c r="D1154" s="57" t="s">
        <v>177</v>
      </c>
      <c r="E1154" s="57" t="s">
        <v>178</v>
      </c>
      <c r="F1154" s="57">
        <f t="shared" si="20"/>
        <v>0</v>
      </c>
      <c r="G1154" s="57">
        <v>0</v>
      </c>
      <c r="H1154" s="57">
        <v>2.76</v>
      </c>
      <c r="I1154" s="57">
        <v>1.5208999999999999</v>
      </c>
      <c r="J1154" s="33">
        <f t="shared" si="21"/>
        <v>2.76</v>
      </c>
      <c r="K1154" s="33">
        <f t="shared" si="22"/>
        <v>1.5208999999999999</v>
      </c>
    </row>
    <row r="1155" spans="1:11" x14ac:dyDescent="0.2">
      <c r="A1155" s="70">
        <v>44706</v>
      </c>
      <c r="B1155" s="57">
        <v>2029</v>
      </c>
      <c r="C1155" s="57" t="s">
        <v>173</v>
      </c>
      <c r="D1155" s="57" t="s">
        <v>174</v>
      </c>
      <c r="E1155" s="57" t="s">
        <v>175</v>
      </c>
      <c r="F1155" s="57">
        <f t="shared" si="20"/>
        <v>1</v>
      </c>
      <c r="G1155" s="57">
        <v>0</v>
      </c>
      <c r="H1155" s="57">
        <v>0.56999999999999995</v>
      </c>
      <c r="I1155" s="57">
        <v>0.33900000000000002</v>
      </c>
      <c r="J1155" s="33">
        <f t="shared" si="21"/>
        <v>0.56999999999999995</v>
      </c>
      <c r="K1155" s="33">
        <f t="shared" si="22"/>
        <v>0.33900000000000002</v>
      </c>
    </row>
    <row r="1156" spans="1:11" x14ac:dyDescent="0.2">
      <c r="A1156" s="70">
        <v>44706</v>
      </c>
      <c r="B1156" s="57">
        <v>2021</v>
      </c>
      <c r="C1156" s="57" t="s">
        <v>173</v>
      </c>
      <c r="D1156" s="57" t="s">
        <v>174</v>
      </c>
      <c r="E1156" s="57" t="s">
        <v>175</v>
      </c>
      <c r="F1156" s="57">
        <f t="shared" si="20"/>
        <v>1</v>
      </c>
      <c r="G1156" s="57">
        <v>0</v>
      </c>
      <c r="H1156" s="57">
        <v>0.28000000000000003</v>
      </c>
      <c r="I1156" s="57">
        <v>0.16320000000000001</v>
      </c>
      <c r="J1156" s="33">
        <f t="shared" si="21"/>
        <v>0.28000000000000003</v>
      </c>
      <c r="K1156" s="33">
        <f t="shared" si="22"/>
        <v>0.16320000000000001</v>
      </c>
    </row>
    <row r="1157" spans="1:11" x14ac:dyDescent="0.2">
      <c r="A1157" s="70">
        <v>44706</v>
      </c>
      <c r="B1157" s="57">
        <v>2006</v>
      </c>
      <c r="C1157" s="57" t="s">
        <v>173</v>
      </c>
      <c r="D1157" s="57" t="s">
        <v>177</v>
      </c>
      <c r="E1157" s="57" t="s">
        <v>175</v>
      </c>
      <c r="F1157" s="57">
        <f t="shared" si="20"/>
        <v>0</v>
      </c>
      <c r="G1157" s="57">
        <v>0</v>
      </c>
      <c r="H1157" s="57">
        <v>0.4</v>
      </c>
      <c r="I1157" s="57">
        <v>0.22539999999999999</v>
      </c>
      <c r="J1157" s="33">
        <f t="shared" si="21"/>
        <v>0.4</v>
      </c>
      <c r="K1157" s="33">
        <f t="shared" si="22"/>
        <v>0.22539999999999999</v>
      </c>
    </row>
    <row r="1158" spans="1:11" x14ac:dyDescent="0.2">
      <c r="A1158" s="70">
        <v>44706</v>
      </c>
      <c r="B1158" s="57">
        <v>2030</v>
      </c>
      <c r="C1158" s="57" t="s">
        <v>173</v>
      </c>
      <c r="D1158" s="57" t="s">
        <v>174</v>
      </c>
      <c r="E1158" s="57" t="s">
        <v>175</v>
      </c>
      <c r="F1158" s="57">
        <f t="shared" si="20"/>
        <v>1</v>
      </c>
      <c r="G1158" s="57">
        <v>0</v>
      </c>
      <c r="H1158" s="57">
        <v>0.61</v>
      </c>
      <c r="I1158" s="57">
        <v>0.37090000000000001</v>
      </c>
      <c r="J1158" s="33">
        <f t="shared" si="21"/>
        <v>0.61</v>
      </c>
      <c r="K1158" s="33">
        <f t="shared" si="22"/>
        <v>0.37090000000000001</v>
      </c>
    </row>
    <row r="1159" spans="1:11" x14ac:dyDescent="0.2">
      <c r="A1159" s="70">
        <v>44706</v>
      </c>
      <c r="B1159" s="57">
        <v>2020</v>
      </c>
      <c r="C1159" s="57" t="s">
        <v>173</v>
      </c>
      <c r="D1159" s="57" t="s">
        <v>174</v>
      </c>
      <c r="E1159" s="57" t="s">
        <v>175</v>
      </c>
      <c r="F1159" s="57">
        <f t="shared" si="20"/>
        <v>1</v>
      </c>
      <c r="G1159" s="57">
        <v>0</v>
      </c>
      <c r="H1159" s="57">
        <v>0.83</v>
      </c>
      <c r="I1159" s="57">
        <v>0.4667</v>
      </c>
      <c r="J1159" s="33">
        <f t="shared" si="21"/>
        <v>0.83</v>
      </c>
      <c r="K1159" s="33">
        <f t="shared" si="22"/>
        <v>0.4667</v>
      </c>
    </row>
    <row r="1160" spans="1:11" x14ac:dyDescent="0.2">
      <c r="A1160" s="70">
        <v>44706</v>
      </c>
      <c r="B1160" s="57">
        <v>2092</v>
      </c>
      <c r="C1160" s="57" t="s">
        <v>173</v>
      </c>
      <c r="D1160" s="57" t="s">
        <v>177</v>
      </c>
      <c r="E1160" s="57" t="s">
        <v>175</v>
      </c>
      <c r="F1160" s="57">
        <f t="shared" si="20"/>
        <v>0</v>
      </c>
      <c r="G1160" s="57">
        <v>0</v>
      </c>
      <c r="H1160" s="57">
        <v>0.68</v>
      </c>
      <c r="I1160" s="57">
        <v>0.36659999999999998</v>
      </c>
      <c r="J1160" s="33">
        <f t="shared" si="21"/>
        <v>0.68</v>
      </c>
      <c r="K1160" s="33">
        <f t="shared" si="22"/>
        <v>0.36659999999999998</v>
      </c>
    </row>
    <row r="1161" spans="1:11" x14ac:dyDescent="0.2">
      <c r="A1161" s="70">
        <v>44706</v>
      </c>
      <c r="B1161" s="57">
        <v>2013</v>
      </c>
      <c r="C1161" s="57" t="s">
        <v>173</v>
      </c>
      <c r="D1161" s="57" t="s">
        <v>177</v>
      </c>
      <c r="E1161" s="57" t="s">
        <v>178</v>
      </c>
      <c r="F1161" s="57">
        <f t="shared" si="20"/>
        <v>0</v>
      </c>
      <c r="G1161" s="57">
        <v>0</v>
      </c>
      <c r="H1161" s="57">
        <v>3.28</v>
      </c>
      <c r="I1161" s="57">
        <v>1.7613000000000001</v>
      </c>
      <c r="J1161" s="33">
        <f t="shared" si="21"/>
        <v>3.28</v>
      </c>
      <c r="K1161" s="33">
        <f t="shared" si="22"/>
        <v>1.7613000000000001</v>
      </c>
    </row>
    <row r="1162" spans="1:11" x14ac:dyDescent="0.2">
      <c r="A1162" s="70">
        <v>44706</v>
      </c>
      <c r="B1162" s="57">
        <v>1478</v>
      </c>
      <c r="C1162" s="57" t="s">
        <v>173</v>
      </c>
      <c r="D1162" s="57" t="s">
        <v>174</v>
      </c>
      <c r="E1162" s="57" t="s">
        <v>175</v>
      </c>
      <c r="F1162" s="57">
        <f t="shared" si="20"/>
        <v>1</v>
      </c>
      <c r="G1162" s="57">
        <v>0</v>
      </c>
      <c r="H1162" s="57">
        <v>0.32</v>
      </c>
      <c r="I1162" s="57">
        <v>0.1741</v>
      </c>
      <c r="J1162" s="33">
        <f t="shared" si="21"/>
        <v>0.32</v>
      </c>
      <c r="K1162" s="33">
        <f t="shared" si="22"/>
        <v>0.1741</v>
      </c>
    </row>
    <row r="1163" spans="1:11" x14ac:dyDescent="0.2">
      <c r="A1163" s="70">
        <v>44706</v>
      </c>
      <c r="B1163" s="57">
        <v>2088</v>
      </c>
      <c r="C1163" s="57" t="s">
        <v>173</v>
      </c>
      <c r="D1163" s="57" t="s">
        <v>177</v>
      </c>
      <c r="E1163" s="57" t="s">
        <v>178</v>
      </c>
      <c r="F1163" s="57">
        <f t="shared" si="20"/>
        <v>0</v>
      </c>
      <c r="G1163" s="57">
        <v>0</v>
      </c>
      <c r="H1163" s="57">
        <v>2.73</v>
      </c>
      <c r="I1163" s="57">
        <v>1.4096</v>
      </c>
      <c r="J1163" s="33">
        <f t="shared" si="21"/>
        <v>2.73</v>
      </c>
      <c r="K1163" s="33">
        <f t="shared" si="22"/>
        <v>1.4096</v>
      </c>
    </row>
    <row r="1164" spans="1:11" x14ac:dyDescent="0.2">
      <c r="A1164" s="70">
        <v>44706</v>
      </c>
      <c r="B1164" s="57">
        <v>2022</v>
      </c>
      <c r="C1164" s="57" t="s">
        <v>173</v>
      </c>
      <c r="D1164" s="57" t="s">
        <v>177</v>
      </c>
      <c r="E1164" s="57" t="s">
        <v>175</v>
      </c>
      <c r="F1164" s="57">
        <f t="shared" si="20"/>
        <v>0</v>
      </c>
      <c r="G1164" s="57">
        <v>0</v>
      </c>
      <c r="H1164" s="57">
        <v>0.13</v>
      </c>
      <c r="I1164" s="57">
        <v>7.4999999999999997E-2</v>
      </c>
      <c r="J1164" s="33">
        <f t="shared" si="21"/>
        <v>0.13</v>
      </c>
      <c r="K1164" s="33">
        <f t="shared" si="22"/>
        <v>7.4999999999999997E-2</v>
      </c>
    </row>
    <row r="1165" spans="1:11" x14ac:dyDescent="0.2">
      <c r="A1165" s="70">
        <v>44706</v>
      </c>
      <c r="B1165" s="57">
        <v>2015</v>
      </c>
      <c r="C1165" s="57" t="s">
        <v>173</v>
      </c>
      <c r="D1165" s="57" t="s">
        <v>174</v>
      </c>
      <c r="E1165" s="57" t="s">
        <v>175</v>
      </c>
      <c r="F1165" s="57">
        <f t="shared" si="20"/>
        <v>1</v>
      </c>
      <c r="G1165" s="57">
        <v>0</v>
      </c>
      <c r="H1165" s="57">
        <v>0.55000000000000004</v>
      </c>
      <c r="I1165" s="57">
        <v>0.33250000000000002</v>
      </c>
      <c r="J1165" s="33">
        <f t="shared" si="21"/>
        <v>0.55000000000000004</v>
      </c>
      <c r="K1165" s="33">
        <f t="shared" si="22"/>
        <v>0.33250000000000002</v>
      </c>
    </row>
    <row r="1166" spans="1:11" x14ac:dyDescent="0.2">
      <c r="A1166" s="70">
        <v>44706</v>
      </c>
      <c r="B1166" s="57">
        <v>2088</v>
      </c>
      <c r="C1166" s="57" t="s">
        <v>173</v>
      </c>
      <c r="D1166" s="57" t="s">
        <v>174</v>
      </c>
      <c r="E1166" s="57" t="s">
        <v>175</v>
      </c>
      <c r="F1166" s="57">
        <f t="shared" si="20"/>
        <v>1</v>
      </c>
      <c r="G1166" s="57">
        <v>0</v>
      </c>
      <c r="H1166" s="57">
        <v>0.33</v>
      </c>
      <c r="I1166" s="57">
        <v>0.18909999999999999</v>
      </c>
      <c r="J1166" s="33">
        <f t="shared" si="21"/>
        <v>0.33</v>
      </c>
      <c r="K1166" s="33">
        <f t="shared" si="22"/>
        <v>0.18909999999999999</v>
      </c>
    </row>
    <row r="1167" spans="1:11" x14ac:dyDescent="0.2">
      <c r="A1167" s="70">
        <v>44706</v>
      </c>
      <c r="B1167" s="57">
        <v>2093</v>
      </c>
      <c r="C1167" s="57" t="s">
        <v>173</v>
      </c>
      <c r="D1167" s="57" t="s">
        <v>174</v>
      </c>
      <c r="E1167" s="57" t="s">
        <v>178</v>
      </c>
      <c r="F1167" s="57">
        <f t="shared" si="20"/>
        <v>1</v>
      </c>
      <c r="G1167" s="57">
        <v>0</v>
      </c>
      <c r="H1167" s="57">
        <v>0.77</v>
      </c>
      <c r="I1167" s="57">
        <v>0.48659999999999998</v>
      </c>
      <c r="J1167" s="33">
        <f t="shared" si="21"/>
        <v>0.77</v>
      </c>
      <c r="K1167" s="33">
        <f t="shared" si="22"/>
        <v>0.48659999999999998</v>
      </c>
    </row>
    <row r="1168" spans="1:11" x14ac:dyDescent="0.2">
      <c r="A1168" s="70">
        <v>44706</v>
      </c>
      <c r="B1168" s="57">
        <v>2087</v>
      </c>
      <c r="C1168" s="57" t="s">
        <v>173</v>
      </c>
      <c r="D1168" s="57" t="s">
        <v>174</v>
      </c>
      <c r="E1168" s="57" t="s">
        <v>175</v>
      </c>
      <c r="F1168" s="57">
        <f t="shared" si="20"/>
        <v>1</v>
      </c>
      <c r="G1168" s="57">
        <v>0</v>
      </c>
      <c r="H1168" s="57">
        <v>0.4</v>
      </c>
      <c r="I1168" s="57">
        <v>0.21099999999999999</v>
      </c>
      <c r="J1168" s="33">
        <f t="shared" si="21"/>
        <v>0.4</v>
      </c>
      <c r="K1168" s="33">
        <f t="shared" si="22"/>
        <v>0.21099999999999999</v>
      </c>
    </row>
    <row r="1169" spans="1:11" x14ac:dyDescent="0.2">
      <c r="A1169" s="70">
        <v>44706</v>
      </c>
      <c r="B1169" s="57">
        <v>2004</v>
      </c>
      <c r="C1169" s="57" t="s">
        <v>173</v>
      </c>
      <c r="D1169" s="57" t="s">
        <v>177</v>
      </c>
      <c r="E1169" s="57" t="s">
        <v>175</v>
      </c>
      <c r="F1169" s="57">
        <f t="shared" si="20"/>
        <v>0</v>
      </c>
      <c r="G1169" s="57">
        <v>0</v>
      </c>
      <c r="H1169" s="57">
        <v>0.72</v>
      </c>
      <c r="I1169" s="57">
        <v>0.39019999999999999</v>
      </c>
      <c r="J1169" s="33">
        <f t="shared" si="21"/>
        <v>0.72</v>
      </c>
      <c r="K1169" s="33">
        <f t="shared" si="22"/>
        <v>0.39019999999999999</v>
      </c>
    </row>
    <row r="1170" spans="1:11" x14ac:dyDescent="0.2">
      <c r="A1170" s="70">
        <v>44706</v>
      </c>
      <c r="B1170" s="57" t="s">
        <v>186</v>
      </c>
      <c r="C1170" s="57" t="s">
        <v>173</v>
      </c>
      <c r="D1170" s="57" t="s">
        <v>177</v>
      </c>
      <c r="E1170" s="57" t="s">
        <v>179</v>
      </c>
      <c r="F1170" s="57">
        <f t="shared" si="20"/>
        <v>0</v>
      </c>
      <c r="G1170" s="57">
        <v>0</v>
      </c>
      <c r="H1170" s="57">
        <v>0.35</v>
      </c>
      <c r="I1170" s="57">
        <v>0.20810000000000001</v>
      </c>
      <c r="J1170" s="33">
        <f t="shared" si="21"/>
        <v>0.35</v>
      </c>
      <c r="K1170" s="33">
        <f t="shared" si="22"/>
        <v>0.20810000000000001</v>
      </c>
    </row>
    <row r="1171" spans="1:11" x14ac:dyDescent="0.2">
      <c r="A1171" s="70">
        <v>44706</v>
      </c>
      <c r="B1171" s="57">
        <v>1478</v>
      </c>
      <c r="C1171" s="57" t="s">
        <v>173</v>
      </c>
      <c r="D1171" s="57" t="s">
        <v>177</v>
      </c>
      <c r="E1171" s="57" t="s">
        <v>178</v>
      </c>
      <c r="F1171" s="57">
        <f t="shared" si="20"/>
        <v>0</v>
      </c>
      <c r="G1171" s="57">
        <v>0</v>
      </c>
      <c r="H1171" s="57">
        <v>1.95</v>
      </c>
      <c r="I1171" s="57">
        <v>1.1259999999999999</v>
      </c>
      <c r="J1171" s="33">
        <f t="shared" si="21"/>
        <v>1.95</v>
      </c>
      <c r="K1171" s="33">
        <f t="shared" si="22"/>
        <v>1.1259999999999999</v>
      </c>
    </row>
    <row r="1172" spans="1:11" x14ac:dyDescent="0.2">
      <c r="A1172" s="70">
        <v>44706</v>
      </c>
      <c r="B1172" s="57">
        <v>2085</v>
      </c>
      <c r="C1172" s="57" t="s">
        <v>173</v>
      </c>
      <c r="D1172" s="57" t="s">
        <v>174</v>
      </c>
      <c r="E1172" s="57" t="s">
        <v>175</v>
      </c>
      <c r="F1172" s="57">
        <f t="shared" si="20"/>
        <v>1</v>
      </c>
      <c r="G1172" s="57">
        <v>0</v>
      </c>
      <c r="H1172" s="57">
        <v>0.41</v>
      </c>
      <c r="I1172" s="57">
        <v>0.2349</v>
      </c>
      <c r="J1172" s="33">
        <f t="shared" si="21"/>
        <v>0.41</v>
      </c>
      <c r="K1172" s="33">
        <f t="shared" si="22"/>
        <v>0.2349</v>
      </c>
    </row>
    <row r="1173" spans="1:11" x14ac:dyDescent="0.2">
      <c r="A1173" s="70">
        <v>44706</v>
      </c>
      <c r="B1173" s="57">
        <v>2028</v>
      </c>
      <c r="C1173" s="57" t="s">
        <v>173</v>
      </c>
      <c r="D1173" s="57" t="s">
        <v>177</v>
      </c>
      <c r="E1173" s="57" t="s">
        <v>175</v>
      </c>
      <c r="F1173" s="57">
        <f t="shared" si="20"/>
        <v>0</v>
      </c>
      <c r="G1173" s="57">
        <v>0</v>
      </c>
      <c r="H1173" s="57">
        <v>0.2</v>
      </c>
      <c r="I1173" s="57">
        <v>0.11169999999999999</v>
      </c>
      <c r="J1173" s="33">
        <f t="shared" si="21"/>
        <v>0.2</v>
      </c>
      <c r="K1173" s="33">
        <f t="shared" si="22"/>
        <v>0.11169999999999999</v>
      </c>
    </row>
    <row r="1174" spans="1:11" x14ac:dyDescent="0.2">
      <c r="A1174" s="70">
        <v>44706</v>
      </c>
      <c r="B1174" s="57">
        <v>2006</v>
      </c>
      <c r="C1174" s="57" t="s">
        <v>173</v>
      </c>
      <c r="D1174" s="57" t="s">
        <v>174</v>
      </c>
      <c r="E1174" s="57" t="s">
        <v>175</v>
      </c>
      <c r="F1174" s="57">
        <f t="shared" si="20"/>
        <v>1</v>
      </c>
      <c r="G1174" s="57">
        <v>0</v>
      </c>
      <c r="H1174" s="57">
        <v>0.35</v>
      </c>
      <c r="I1174" s="57">
        <v>0.21099999999999999</v>
      </c>
      <c r="J1174" s="33">
        <f t="shared" si="21"/>
        <v>0.35</v>
      </c>
      <c r="K1174" s="33">
        <f t="shared" si="22"/>
        <v>0.21099999999999999</v>
      </c>
    </row>
    <row r="1175" spans="1:11" x14ac:dyDescent="0.2">
      <c r="A1175" s="70">
        <v>44706</v>
      </c>
      <c r="B1175" s="57">
        <v>2012</v>
      </c>
      <c r="C1175" s="57" t="s">
        <v>173</v>
      </c>
      <c r="D1175" s="57" t="s">
        <v>177</v>
      </c>
      <c r="E1175" s="57" t="s">
        <v>178</v>
      </c>
      <c r="F1175" s="57">
        <f t="shared" si="20"/>
        <v>0</v>
      </c>
      <c r="G1175" s="57">
        <v>0</v>
      </c>
      <c r="H1175" s="57">
        <v>2.5</v>
      </c>
      <c r="I1175" s="57">
        <v>1.4339999999999999</v>
      </c>
      <c r="J1175" s="33">
        <f t="shared" si="21"/>
        <v>2.5</v>
      </c>
      <c r="K1175" s="33">
        <f t="shared" si="22"/>
        <v>1.4339999999999999</v>
      </c>
    </row>
    <row r="1176" spans="1:11" x14ac:dyDescent="0.2">
      <c r="A1176" s="70">
        <v>44706</v>
      </c>
      <c r="B1176" s="57">
        <v>2024</v>
      </c>
      <c r="C1176" s="57" t="s">
        <v>173</v>
      </c>
      <c r="D1176" s="57" t="s">
        <v>177</v>
      </c>
      <c r="E1176" s="57" t="s">
        <v>178</v>
      </c>
      <c r="F1176" s="57">
        <f t="shared" si="20"/>
        <v>0</v>
      </c>
      <c r="G1176" s="57">
        <v>0</v>
      </c>
      <c r="H1176" s="57">
        <v>2.39</v>
      </c>
      <c r="I1176" s="57">
        <v>1.2887</v>
      </c>
      <c r="J1176" s="33">
        <f t="shared" si="21"/>
        <v>2.39</v>
      </c>
      <c r="K1176" s="33">
        <f t="shared" si="22"/>
        <v>1.2887</v>
      </c>
    </row>
    <row r="1177" spans="1:11" x14ac:dyDescent="0.2">
      <c r="A1177" s="70">
        <v>44706</v>
      </c>
      <c r="B1177" s="57">
        <v>2008</v>
      </c>
      <c r="C1177" s="57" t="s">
        <v>173</v>
      </c>
      <c r="D1177" s="57" t="s">
        <v>177</v>
      </c>
      <c r="E1177" s="57" t="s">
        <v>175</v>
      </c>
      <c r="F1177" s="57">
        <f t="shared" si="20"/>
        <v>0</v>
      </c>
      <c r="G1177" s="57">
        <v>0</v>
      </c>
      <c r="H1177" s="57">
        <v>0.4</v>
      </c>
      <c r="I1177" s="57">
        <v>0.22500000000000001</v>
      </c>
      <c r="J1177" s="33">
        <f t="shared" si="21"/>
        <v>0.4</v>
      </c>
      <c r="K1177" s="33">
        <f t="shared" si="22"/>
        <v>0.22500000000000001</v>
      </c>
    </row>
    <row r="1178" spans="1:11" x14ac:dyDescent="0.2">
      <c r="A1178" s="70">
        <v>44706</v>
      </c>
      <c r="B1178" s="57">
        <v>2030</v>
      </c>
      <c r="C1178" s="57" t="s">
        <v>173</v>
      </c>
      <c r="D1178" s="57" t="s">
        <v>177</v>
      </c>
      <c r="E1178" s="57" t="s">
        <v>175</v>
      </c>
      <c r="F1178" s="57">
        <f t="shared" si="20"/>
        <v>0</v>
      </c>
      <c r="G1178" s="57">
        <v>0</v>
      </c>
      <c r="H1178" s="57">
        <v>0.32</v>
      </c>
      <c r="I1178" s="57">
        <v>0.18</v>
      </c>
      <c r="J1178" s="33">
        <f t="shared" si="21"/>
        <v>0.32</v>
      </c>
      <c r="K1178" s="33">
        <f t="shared" si="22"/>
        <v>0.18</v>
      </c>
    </row>
    <row r="1179" spans="1:11" x14ac:dyDescent="0.2">
      <c r="A1179" s="70">
        <v>44706</v>
      </c>
      <c r="B1179" s="57">
        <v>2089</v>
      </c>
      <c r="C1179" s="57" t="s">
        <v>173</v>
      </c>
      <c r="D1179" s="57" t="s">
        <v>174</v>
      </c>
      <c r="E1179" s="57" t="s">
        <v>175</v>
      </c>
      <c r="F1179" s="57">
        <f t="shared" si="20"/>
        <v>1</v>
      </c>
      <c r="G1179" s="57">
        <v>0</v>
      </c>
      <c r="H1179" s="57">
        <v>0.37</v>
      </c>
      <c r="I1179" s="57">
        <v>0.21659999999999999</v>
      </c>
      <c r="J1179" s="33">
        <f t="shared" si="21"/>
        <v>0.37</v>
      </c>
      <c r="K1179" s="33">
        <f t="shared" si="22"/>
        <v>0.21659999999999999</v>
      </c>
    </row>
    <row r="1180" spans="1:11" x14ac:dyDescent="0.2">
      <c r="A1180" s="70">
        <v>44706</v>
      </c>
      <c r="B1180" s="57">
        <v>2007</v>
      </c>
      <c r="C1180" s="57" t="s">
        <v>173</v>
      </c>
      <c r="D1180" s="57" t="s">
        <v>174</v>
      </c>
      <c r="E1180" s="57" t="s">
        <v>175</v>
      </c>
      <c r="F1180" s="57">
        <f t="shared" si="20"/>
        <v>1</v>
      </c>
      <c r="G1180" s="57">
        <v>0</v>
      </c>
      <c r="H1180" s="57">
        <v>0.51</v>
      </c>
      <c r="I1180" s="57">
        <v>0.30599999999999999</v>
      </c>
      <c r="J1180" s="33">
        <f t="shared" si="21"/>
        <v>0.51</v>
      </c>
      <c r="K1180" s="33">
        <f t="shared" si="22"/>
        <v>0.30599999999999999</v>
      </c>
    </row>
    <row r="1181" spans="1:11" x14ac:dyDescent="0.2">
      <c r="A1181" s="70">
        <v>44706</v>
      </c>
      <c r="B1181" s="57">
        <v>2024</v>
      </c>
      <c r="C1181" s="57" t="s">
        <v>173</v>
      </c>
      <c r="D1181" s="57" t="s">
        <v>177</v>
      </c>
      <c r="E1181" s="57" t="s">
        <v>175</v>
      </c>
      <c r="F1181" s="57">
        <f t="shared" si="20"/>
        <v>0</v>
      </c>
      <c r="G1181" s="57">
        <v>0</v>
      </c>
      <c r="H1181" s="57">
        <v>0.35</v>
      </c>
      <c r="I1181" s="57">
        <v>0.20530000000000001</v>
      </c>
      <c r="J1181" s="33">
        <f t="shared" si="21"/>
        <v>0.35</v>
      </c>
      <c r="K1181" s="33">
        <f t="shared" si="22"/>
        <v>0.20530000000000001</v>
      </c>
    </row>
    <row r="1182" spans="1:11" x14ac:dyDescent="0.2">
      <c r="A1182" s="70">
        <v>44706</v>
      </c>
      <c r="B1182" s="57">
        <v>2092</v>
      </c>
      <c r="C1182" s="57" t="s">
        <v>173</v>
      </c>
      <c r="D1182" s="57" t="s">
        <v>174</v>
      </c>
      <c r="E1182" s="57" t="s">
        <v>175</v>
      </c>
      <c r="F1182" s="57">
        <f t="shared" si="20"/>
        <v>1</v>
      </c>
      <c r="G1182" s="57">
        <v>0</v>
      </c>
      <c r="H1182" s="57">
        <v>0.21</v>
      </c>
      <c r="I1182" s="57">
        <v>0.10730000000000001</v>
      </c>
      <c r="J1182" s="33">
        <f t="shared" si="21"/>
        <v>0.21</v>
      </c>
      <c r="K1182" s="33">
        <f t="shared" si="22"/>
        <v>0.10730000000000001</v>
      </c>
    </row>
    <row r="1183" spans="1:11" x14ac:dyDescent="0.2">
      <c r="A1183" s="70">
        <v>44706</v>
      </c>
      <c r="B1183" s="57">
        <v>2029</v>
      </c>
      <c r="C1183" s="57" t="s">
        <v>173</v>
      </c>
      <c r="D1183" s="57" t="s">
        <v>174</v>
      </c>
      <c r="E1183" s="57" t="s">
        <v>178</v>
      </c>
      <c r="F1183" s="57">
        <f t="shared" si="20"/>
        <v>1</v>
      </c>
      <c r="G1183" s="57">
        <v>0</v>
      </c>
      <c r="H1183" s="57">
        <v>0.9</v>
      </c>
      <c r="I1183" s="57">
        <v>0.59130000000000005</v>
      </c>
      <c r="J1183" s="33">
        <f t="shared" si="21"/>
        <v>0.9</v>
      </c>
      <c r="K1183" s="33">
        <f t="shared" si="22"/>
        <v>0.59130000000000005</v>
      </c>
    </row>
    <row r="1184" spans="1:11" x14ac:dyDescent="0.2">
      <c r="A1184" s="70">
        <v>44706</v>
      </c>
      <c r="B1184" s="57">
        <v>2093</v>
      </c>
      <c r="C1184" s="57" t="s">
        <v>173</v>
      </c>
      <c r="D1184" s="57" t="s">
        <v>177</v>
      </c>
      <c r="E1184" s="57" t="s">
        <v>175</v>
      </c>
      <c r="F1184" s="57">
        <f t="shared" si="20"/>
        <v>0</v>
      </c>
      <c r="G1184" s="57">
        <v>0</v>
      </c>
      <c r="H1184" s="57">
        <v>0.16</v>
      </c>
      <c r="I1184" s="57">
        <v>8.4599999999999995E-2</v>
      </c>
      <c r="J1184" s="33">
        <f t="shared" si="21"/>
        <v>0.16</v>
      </c>
      <c r="K1184" s="33">
        <f t="shared" si="22"/>
        <v>8.4599999999999995E-2</v>
      </c>
    </row>
    <row r="1185" spans="1:11" x14ac:dyDescent="0.2">
      <c r="A1185" s="70">
        <v>44706</v>
      </c>
      <c r="B1185" s="57">
        <v>2087</v>
      </c>
      <c r="C1185" s="57" t="s">
        <v>173</v>
      </c>
      <c r="D1185" s="57" t="s">
        <v>177</v>
      </c>
      <c r="E1185" s="57" t="s">
        <v>175</v>
      </c>
      <c r="F1185" s="57">
        <f t="shared" si="20"/>
        <v>0</v>
      </c>
      <c r="G1185" s="57">
        <v>0</v>
      </c>
      <c r="H1185" s="57">
        <v>0.32</v>
      </c>
      <c r="I1185" s="57">
        <v>0.14699999999999999</v>
      </c>
      <c r="J1185" s="33">
        <f t="shared" si="21"/>
        <v>0.32</v>
      </c>
      <c r="K1185" s="33">
        <f t="shared" si="22"/>
        <v>0.14699999999999999</v>
      </c>
    </row>
    <row r="1186" spans="1:11" x14ac:dyDescent="0.2">
      <c r="A1186" s="70">
        <v>44706</v>
      </c>
      <c r="B1186" s="57">
        <v>2091</v>
      </c>
      <c r="C1186" s="57" t="s">
        <v>173</v>
      </c>
      <c r="D1186" s="57" t="s">
        <v>177</v>
      </c>
      <c r="E1186" s="57" t="s">
        <v>175</v>
      </c>
      <c r="F1186" s="57">
        <f t="shared" si="20"/>
        <v>0</v>
      </c>
      <c r="G1186" s="57">
        <v>0</v>
      </c>
      <c r="H1186" s="57">
        <v>0.28000000000000003</v>
      </c>
      <c r="I1186" s="57">
        <v>0.13500000000000001</v>
      </c>
      <c r="J1186" s="33">
        <f t="shared" si="21"/>
        <v>0.28000000000000003</v>
      </c>
      <c r="K1186" s="33">
        <f t="shared" si="22"/>
        <v>0.13500000000000001</v>
      </c>
    </row>
    <row r="1187" spans="1:11" x14ac:dyDescent="0.2">
      <c r="A1187" s="70">
        <v>44706</v>
      </c>
      <c r="B1187" s="57">
        <v>2005</v>
      </c>
      <c r="C1187" s="57" t="s">
        <v>173</v>
      </c>
      <c r="D1187" s="57" t="s">
        <v>177</v>
      </c>
      <c r="E1187" s="57" t="s">
        <v>175</v>
      </c>
      <c r="F1187" s="57">
        <f t="shared" si="20"/>
        <v>0</v>
      </c>
      <c r="G1187" s="57">
        <v>0</v>
      </c>
      <c r="H1187" s="57">
        <v>0.77</v>
      </c>
      <c r="I1187" s="57">
        <v>0.42</v>
      </c>
      <c r="J1187" s="33">
        <f t="shared" si="21"/>
        <v>0.77</v>
      </c>
      <c r="K1187" s="33">
        <f t="shared" si="22"/>
        <v>0.42</v>
      </c>
    </row>
    <row r="1188" spans="1:11" x14ac:dyDescent="0.2">
      <c r="A1188" s="70">
        <v>44706</v>
      </c>
      <c r="B1188" s="57" t="s">
        <v>187</v>
      </c>
      <c r="C1188" s="57" t="s">
        <v>173</v>
      </c>
      <c r="D1188" s="57" t="s">
        <v>177</v>
      </c>
      <c r="E1188" s="57" t="s">
        <v>179</v>
      </c>
      <c r="F1188" s="57">
        <f t="shared" si="20"/>
        <v>0</v>
      </c>
      <c r="G1188" s="57">
        <v>0</v>
      </c>
      <c r="H1188" s="57">
        <v>1.05</v>
      </c>
      <c r="I1188" s="57">
        <v>0.61</v>
      </c>
      <c r="J1188" s="33">
        <f t="shared" si="21"/>
        <v>1.05</v>
      </c>
      <c r="K1188" s="33">
        <f t="shared" si="22"/>
        <v>0.61</v>
      </c>
    </row>
    <row r="1189" spans="1:11" x14ac:dyDescent="0.2">
      <c r="A1189" s="70">
        <v>44706</v>
      </c>
      <c r="B1189" s="57">
        <v>2013</v>
      </c>
      <c r="C1189" s="57" t="s">
        <v>173</v>
      </c>
      <c r="D1189" s="57" t="s">
        <v>177</v>
      </c>
      <c r="E1189" s="57" t="s">
        <v>175</v>
      </c>
      <c r="F1189" s="57">
        <f t="shared" si="20"/>
        <v>0</v>
      </c>
      <c r="G1189" s="57">
        <v>0</v>
      </c>
      <c r="H1189" s="57">
        <v>0.47</v>
      </c>
      <c r="I1189" s="57">
        <v>0.255</v>
      </c>
      <c r="J1189" s="33">
        <f t="shared" si="21"/>
        <v>0.47</v>
      </c>
      <c r="K1189" s="33">
        <f t="shared" si="22"/>
        <v>0.255</v>
      </c>
    </row>
    <row r="1190" spans="1:11" x14ac:dyDescent="0.2">
      <c r="A1190" s="70">
        <v>44706</v>
      </c>
      <c r="B1190" s="57">
        <v>2086</v>
      </c>
      <c r="C1190" s="57" t="s">
        <v>173</v>
      </c>
      <c r="D1190" s="57" t="s">
        <v>177</v>
      </c>
      <c r="E1190" s="57" t="s">
        <v>175</v>
      </c>
      <c r="F1190" s="57">
        <f t="shared" si="20"/>
        <v>0</v>
      </c>
      <c r="G1190" s="57">
        <v>0</v>
      </c>
      <c r="H1190" s="57">
        <v>0.44</v>
      </c>
      <c r="I1190" s="57">
        <v>0.22220000000000001</v>
      </c>
      <c r="J1190" s="33">
        <f t="shared" si="21"/>
        <v>0.44</v>
      </c>
      <c r="K1190" s="33">
        <f t="shared" si="22"/>
        <v>0.22220000000000001</v>
      </c>
    </row>
    <row r="1191" spans="1:11" x14ac:dyDescent="0.2">
      <c r="A1191" s="70">
        <v>44706</v>
      </c>
      <c r="B1191" s="57">
        <v>2091</v>
      </c>
      <c r="C1191" s="57" t="s">
        <v>173</v>
      </c>
      <c r="D1191" s="57" t="s">
        <v>174</v>
      </c>
      <c r="E1191" s="57" t="s">
        <v>175</v>
      </c>
      <c r="F1191" s="57">
        <f t="shared" si="20"/>
        <v>1</v>
      </c>
      <c r="G1191" s="57">
        <v>0</v>
      </c>
      <c r="H1191" s="57">
        <v>0.4</v>
      </c>
      <c r="I1191" s="57">
        <v>0.23</v>
      </c>
      <c r="J1191" s="33">
        <f t="shared" si="21"/>
        <v>0.4</v>
      </c>
      <c r="K1191" s="33">
        <f t="shared" si="22"/>
        <v>0.23</v>
      </c>
    </row>
    <row r="1192" spans="1:11" x14ac:dyDescent="0.2">
      <c r="A1192" s="70">
        <v>44706</v>
      </c>
      <c r="B1192" s="57">
        <v>2091</v>
      </c>
      <c r="C1192" s="57" t="s">
        <v>173</v>
      </c>
      <c r="D1192" s="57" t="s">
        <v>174</v>
      </c>
      <c r="E1192" s="57" t="s">
        <v>178</v>
      </c>
      <c r="F1192" s="57">
        <f t="shared" si="20"/>
        <v>1</v>
      </c>
      <c r="G1192" s="57">
        <v>0</v>
      </c>
      <c r="H1192" s="57">
        <v>1.32</v>
      </c>
      <c r="I1192" s="57">
        <v>0.81200000000000006</v>
      </c>
      <c r="J1192" s="33">
        <f t="shared" si="21"/>
        <v>1.32</v>
      </c>
      <c r="K1192" s="33">
        <f t="shared" si="22"/>
        <v>0.81200000000000006</v>
      </c>
    </row>
    <row r="1193" spans="1:11" x14ac:dyDescent="0.2">
      <c r="A1193" s="70">
        <v>44706</v>
      </c>
      <c r="B1193" s="57">
        <v>2007</v>
      </c>
      <c r="C1193" s="57" t="s">
        <v>173</v>
      </c>
      <c r="D1193" s="57" t="s">
        <v>177</v>
      </c>
      <c r="E1193" s="57" t="s">
        <v>175</v>
      </c>
      <c r="F1193" s="57">
        <f t="shared" si="20"/>
        <v>0</v>
      </c>
      <c r="G1193" s="57">
        <v>0</v>
      </c>
      <c r="H1193" s="57">
        <v>0.34</v>
      </c>
      <c r="I1193" s="57">
        <v>0.19400000000000001</v>
      </c>
      <c r="J1193" s="33">
        <f t="shared" si="21"/>
        <v>0.34</v>
      </c>
      <c r="K1193" s="33">
        <f t="shared" si="22"/>
        <v>0.19400000000000001</v>
      </c>
    </row>
    <row r="1194" spans="1:11" x14ac:dyDescent="0.2">
      <c r="A1194" s="70">
        <v>44706</v>
      </c>
      <c r="B1194" s="57">
        <v>2021</v>
      </c>
      <c r="C1194" s="57" t="s">
        <v>173</v>
      </c>
      <c r="D1194" s="57" t="s">
        <v>177</v>
      </c>
      <c r="E1194" s="57" t="s">
        <v>175</v>
      </c>
      <c r="F1194" s="57">
        <f t="shared" si="20"/>
        <v>0</v>
      </c>
      <c r="G1194" s="57">
        <v>0</v>
      </c>
      <c r="H1194" s="57">
        <v>0.2</v>
      </c>
      <c r="I1194" s="57">
        <v>0.11</v>
      </c>
      <c r="J1194" s="33">
        <f t="shared" si="21"/>
        <v>0.2</v>
      </c>
      <c r="K1194" s="33">
        <f t="shared" si="22"/>
        <v>0.11</v>
      </c>
    </row>
    <row r="1195" spans="1:11" x14ac:dyDescent="0.2">
      <c r="A1195" s="70">
        <v>44706</v>
      </c>
      <c r="B1195" s="57">
        <v>2090</v>
      </c>
      <c r="C1195" s="57" t="s">
        <v>173</v>
      </c>
      <c r="D1195" s="57" t="s">
        <v>177</v>
      </c>
      <c r="E1195" s="57" t="s">
        <v>175</v>
      </c>
      <c r="F1195" s="57">
        <f t="shared" si="20"/>
        <v>0</v>
      </c>
      <c r="G1195" s="57">
        <v>0</v>
      </c>
      <c r="H1195" s="57">
        <v>0.43</v>
      </c>
      <c r="I1195" s="57">
        <v>0.2175</v>
      </c>
      <c r="J1195" s="33">
        <f t="shared" si="21"/>
        <v>0.43</v>
      </c>
      <c r="K1195" s="33">
        <f t="shared" si="22"/>
        <v>0.2175</v>
      </c>
    </row>
    <row r="1196" spans="1:11" x14ac:dyDescent="0.2">
      <c r="A1196" s="70">
        <v>44706</v>
      </c>
      <c r="B1196" s="57">
        <v>2015</v>
      </c>
      <c r="C1196" s="57" t="s">
        <v>173</v>
      </c>
      <c r="D1196" s="57" t="s">
        <v>177</v>
      </c>
      <c r="E1196" s="57" t="s">
        <v>175</v>
      </c>
      <c r="F1196" s="57">
        <f t="shared" si="20"/>
        <v>0</v>
      </c>
      <c r="G1196" s="57">
        <v>0</v>
      </c>
      <c r="H1196" s="57">
        <v>0.44</v>
      </c>
      <c r="I1196" s="57">
        <v>0.1744</v>
      </c>
      <c r="J1196" s="33">
        <f t="shared" si="21"/>
        <v>0.44</v>
      </c>
      <c r="K1196" s="33">
        <f t="shared" si="22"/>
        <v>0.1744</v>
      </c>
    </row>
    <row r="1197" spans="1:11" x14ac:dyDescent="0.2">
      <c r="A1197" s="70">
        <v>44706</v>
      </c>
      <c r="B1197" s="57">
        <v>2031</v>
      </c>
      <c r="C1197" s="57" t="s">
        <v>173</v>
      </c>
      <c r="D1197" s="57" t="s">
        <v>174</v>
      </c>
      <c r="E1197" s="57" t="s">
        <v>175</v>
      </c>
      <c r="F1197" s="57">
        <f t="shared" si="20"/>
        <v>1</v>
      </c>
      <c r="G1197" s="57">
        <v>0</v>
      </c>
      <c r="H1197" s="57">
        <v>0.45</v>
      </c>
      <c r="I1197" s="57">
        <v>0.2757</v>
      </c>
      <c r="J1197" s="33">
        <f t="shared" si="21"/>
        <v>0.45</v>
      </c>
      <c r="K1197" s="33">
        <f t="shared" si="22"/>
        <v>0.2757</v>
      </c>
    </row>
    <row r="1198" spans="1:11" x14ac:dyDescent="0.2">
      <c r="A1198" s="70">
        <v>44706</v>
      </c>
      <c r="B1198" s="57">
        <v>2023</v>
      </c>
      <c r="C1198" s="57" t="s">
        <v>173</v>
      </c>
      <c r="D1198" s="57" t="s">
        <v>174</v>
      </c>
      <c r="E1198" s="57" t="s">
        <v>178</v>
      </c>
      <c r="F1198" s="57">
        <f t="shared" si="20"/>
        <v>1</v>
      </c>
      <c r="G1198" s="57">
        <v>0</v>
      </c>
      <c r="H1198" s="57">
        <v>3.01</v>
      </c>
      <c r="I1198" s="57">
        <v>1.921</v>
      </c>
      <c r="J1198" s="33">
        <f t="shared" si="21"/>
        <v>3.01</v>
      </c>
      <c r="K1198" s="33">
        <f t="shared" si="22"/>
        <v>1.921</v>
      </c>
    </row>
    <row r="1199" spans="1:11" x14ac:dyDescent="0.2">
      <c r="A1199" s="70">
        <v>44706</v>
      </c>
      <c r="B1199" s="57">
        <v>2093</v>
      </c>
      <c r="C1199" s="57" t="s">
        <v>173</v>
      </c>
      <c r="D1199" s="57" t="s">
        <v>174</v>
      </c>
      <c r="E1199" s="57" t="s">
        <v>175</v>
      </c>
      <c r="F1199" s="57">
        <f t="shared" si="20"/>
        <v>1</v>
      </c>
      <c r="G1199" s="57">
        <v>0</v>
      </c>
      <c r="H1199" s="57">
        <v>0.21</v>
      </c>
      <c r="I1199" s="57">
        <v>0.1181</v>
      </c>
      <c r="J1199" s="33">
        <f t="shared" si="21"/>
        <v>0.21</v>
      </c>
      <c r="K1199" s="33">
        <f t="shared" si="22"/>
        <v>0.1181</v>
      </c>
    </row>
    <row r="1200" spans="1:11" x14ac:dyDescent="0.2">
      <c r="A1200" s="70">
        <v>44706</v>
      </c>
      <c r="B1200" s="57">
        <v>2026</v>
      </c>
      <c r="C1200" s="57" t="s">
        <v>173</v>
      </c>
      <c r="D1200" s="57" t="s">
        <v>177</v>
      </c>
      <c r="E1200" s="57" t="s">
        <v>175</v>
      </c>
      <c r="F1200" s="57">
        <f t="shared" si="20"/>
        <v>0</v>
      </c>
      <c r="G1200" s="57">
        <v>0</v>
      </c>
      <c r="H1200" s="57">
        <v>0.42</v>
      </c>
      <c r="I1200" s="57">
        <v>0.246</v>
      </c>
      <c r="J1200" s="33">
        <f t="shared" si="21"/>
        <v>0.42</v>
      </c>
      <c r="K1200" s="33">
        <f t="shared" si="22"/>
        <v>0.246</v>
      </c>
    </row>
    <row r="1201" spans="1:11" x14ac:dyDescent="0.2">
      <c r="A1201" s="70">
        <v>44706</v>
      </c>
      <c r="B1201" s="57" t="s">
        <v>187</v>
      </c>
      <c r="C1201" s="57" t="s">
        <v>173</v>
      </c>
      <c r="D1201" s="57" t="s">
        <v>177</v>
      </c>
      <c r="E1201" s="57" t="s">
        <v>179</v>
      </c>
      <c r="F1201" s="57">
        <f t="shared" si="20"/>
        <v>0</v>
      </c>
      <c r="G1201" s="57">
        <v>0</v>
      </c>
      <c r="H1201" s="57">
        <v>1.67</v>
      </c>
      <c r="I1201" s="57">
        <v>0.96199999999999997</v>
      </c>
      <c r="J1201" s="33">
        <f t="shared" si="21"/>
        <v>1.67</v>
      </c>
      <c r="K1201" s="33">
        <f t="shared" si="22"/>
        <v>0.96199999999999997</v>
      </c>
    </row>
    <row r="1202" spans="1:11" x14ac:dyDescent="0.2">
      <c r="A1202" s="70">
        <v>44706</v>
      </c>
      <c r="B1202" s="57">
        <v>2085</v>
      </c>
      <c r="C1202" s="57" t="s">
        <v>173</v>
      </c>
      <c r="D1202" s="57" t="s">
        <v>177</v>
      </c>
      <c r="E1202" s="57" t="s">
        <v>178</v>
      </c>
      <c r="F1202" s="57">
        <f t="shared" si="20"/>
        <v>0</v>
      </c>
      <c r="G1202" s="57">
        <v>0</v>
      </c>
      <c r="H1202" s="57">
        <v>2.14</v>
      </c>
      <c r="I1202" s="57">
        <v>1.121</v>
      </c>
      <c r="J1202" s="33">
        <f t="shared" si="21"/>
        <v>2.14</v>
      </c>
      <c r="K1202" s="33">
        <f t="shared" si="22"/>
        <v>1.121</v>
      </c>
    </row>
    <row r="1203" spans="1:11" x14ac:dyDescent="0.2">
      <c r="A1203" s="70">
        <v>44706</v>
      </c>
      <c r="B1203" s="57">
        <v>2007</v>
      </c>
      <c r="C1203" s="57" t="s">
        <v>173</v>
      </c>
      <c r="D1203" s="57" t="s">
        <v>177</v>
      </c>
      <c r="E1203" s="57" t="s">
        <v>178</v>
      </c>
      <c r="F1203" s="57">
        <f t="shared" si="20"/>
        <v>0</v>
      </c>
      <c r="G1203" s="57">
        <v>0</v>
      </c>
      <c r="H1203" s="57">
        <v>2.23</v>
      </c>
      <c r="I1203" s="57">
        <v>1.1870000000000001</v>
      </c>
      <c r="J1203" s="33">
        <f t="shared" si="21"/>
        <v>2.23</v>
      </c>
      <c r="K1203" s="33">
        <f t="shared" si="22"/>
        <v>1.1870000000000001</v>
      </c>
    </row>
    <row r="1204" spans="1:11" x14ac:dyDescent="0.2">
      <c r="A1204" s="70">
        <v>44706</v>
      </c>
      <c r="B1204" s="57">
        <v>2026</v>
      </c>
      <c r="C1204" s="57" t="s">
        <v>173</v>
      </c>
      <c r="D1204" s="57" t="s">
        <v>174</v>
      </c>
      <c r="E1204" s="57" t="s">
        <v>175</v>
      </c>
      <c r="F1204" s="57">
        <f t="shared" si="20"/>
        <v>1</v>
      </c>
      <c r="G1204" s="57">
        <v>0</v>
      </c>
      <c r="H1204" s="57">
        <v>0.25</v>
      </c>
      <c r="I1204" s="57">
        <v>0.1522</v>
      </c>
      <c r="J1204" s="33">
        <f t="shared" si="21"/>
        <v>0.25</v>
      </c>
      <c r="K1204" s="33">
        <f t="shared" si="22"/>
        <v>0.1522</v>
      </c>
    </row>
    <row r="1205" spans="1:11" x14ac:dyDescent="0.2">
      <c r="A1205" s="70">
        <v>44706</v>
      </c>
      <c r="B1205" s="57">
        <v>2013</v>
      </c>
      <c r="C1205" s="57" t="s">
        <v>173</v>
      </c>
      <c r="D1205" s="57" t="s">
        <v>174</v>
      </c>
      <c r="E1205" s="57" t="s">
        <v>175</v>
      </c>
      <c r="F1205" s="57">
        <f t="shared" si="20"/>
        <v>1</v>
      </c>
      <c r="G1205" s="57">
        <v>0</v>
      </c>
      <c r="H1205" s="57">
        <v>0.69</v>
      </c>
      <c r="I1205" s="57">
        <v>0.39700000000000002</v>
      </c>
      <c r="J1205" s="33">
        <f t="shared" si="21"/>
        <v>0.69</v>
      </c>
      <c r="K1205" s="33">
        <f t="shared" si="22"/>
        <v>0.39700000000000002</v>
      </c>
    </row>
    <row r="1206" spans="1:11" x14ac:dyDescent="0.2">
      <c r="A1206" s="70">
        <v>44706</v>
      </c>
      <c r="B1206" s="57">
        <v>2022</v>
      </c>
      <c r="C1206" s="57" t="s">
        <v>173</v>
      </c>
      <c r="D1206" s="57" t="s">
        <v>174</v>
      </c>
      <c r="E1206" s="57" t="s">
        <v>175</v>
      </c>
      <c r="F1206" s="57">
        <f t="shared" si="20"/>
        <v>1</v>
      </c>
      <c r="G1206" s="57">
        <v>0</v>
      </c>
      <c r="H1206" s="57">
        <v>0.37</v>
      </c>
      <c r="I1206" s="57">
        <v>0.224</v>
      </c>
      <c r="J1206" s="33">
        <f t="shared" si="21"/>
        <v>0.37</v>
      </c>
      <c r="K1206" s="33">
        <f t="shared" si="22"/>
        <v>0.224</v>
      </c>
    </row>
    <row r="1207" spans="1:11" x14ac:dyDescent="0.2">
      <c r="A1207" s="70">
        <v>44706</v>
      </c>
      <c r="B1207" s="57">
        <v>2015</v>
      </c>
      <c r="C1207" s="57" t="s">
        <v>173</v>
      </c>
      <c r="D1207" s="57" t="s">
        <v>177</v>
      </c>
      <c r="E1207" s="57" t="s">
        <v>178</v>
      </c>
      <c r="F1207" s="57">
        <f t="shared" si="20"/>
        <v>0</v>
      </c>
      <c r="G1207" s="57">
        <v>0</v>
      </c>
      <c r="H1207" s="57">
        <v>3</v>
      </c>
      <c r="I1207" s="57">
        <v>1.65</v>
      </c>
      <c r="J1207" s="33">
        <f t="shared" si="21"/>
        <v>3</v>
      </c>
      <c r="K1207" s="33">
        <f t="shared" si="22"/>
        <v>1.65</v>
      </c>
    </row>
    <row r="1208" spans="1:11" x14ac:dyDescent="0.2">
      <c r="A1208" s="70">
        <v>44706</v>
      </c>
      <c r="B1208" s="57">
        <v>2023</v>
      </c>
      <c r="C1208" s="57" t="s">
        <v>173</v>
      </c>
      <c r="D1208" s="57" t="s">
        <v>177</v>
      </c>
      <c r="E1208" s="57" t="s">
        <v>175</v>
      </c>
      <c r="F1208" s="57">
        <f t="shared" si="20"/>
        <v>0</v>
      </c>
      <c r="G1208" s="57">
        <v>0</v>
      </c>
      <c r="H1208" s="57">
        <v>0.18</v>
      </c>
      <c r="I1208" s="57">
        <v>0.10199999999999999</v>
      </c>
      <c r="J1208" s="33">
        <f t="shared" si="21"/>
        <v>0.18</v>
      </c>
      <c r="K1208" s="33">
        <f t="shared" si="22"/>
        <v>0.10199999999999999</v>
      </c>
    </row>
    <row r="1209" spans="1:11" x14ac:dyDescent="0.2">
      <c r="A1209" s="70">
        <v>44706</v>
      </c>
      <c r="B1209" s="57">
        <v>2025</v>
      </c>
      <c r="C1209" s="57" t="s">
        <v>173</v>
      </c>
      <c r="D1209" s="57" t="s">
        <v>177</v>
      </c>
      <c r="E1209" s="57" t="s">
        <v>178</v>
      </c>
      <c r="F1209" s="57">
        <f t="shared" si="20"/>
        <v>0</v>
      </c>
      <c r="G1209" s="57">
        <v>0</v>
      </c>
      <c r="H1209" s="57">
        <v>2.65</v>
      </c>
      <c r="I1209" s="57">
        <v>1.478</v>
      </c>
      <c r="J1209" s="33">
        <f t="shared" si="21"/>
        <v>2.65</v>
      </c>
      <c r="K1209" s="33">
        <f t="shared" si="22"/>
        <v>1.478</v>
      </c>
    </row>
    <row r="1210" spans="1:11" x14ac:dyDescent="0.2">
      <c r="A1210" s="70">
        <v>44704</v>
      </c>
      <c r="B1210" s="57">
        <v>2029</v>
      </c>
      <c r="C1210" s="57" t="s">
        <v>176</v>
      </c>
      <c r="D1210" s="57" t="s">
        <v>177</v>
      </c>
      <c r="E1210" s="57" t="s">
        <v>178</v>
      </c>
      <c r="F1210" s="57">
        <f t="shared" si="20"/>
        <v>0</v>
      </c>
      <c r="G1210" s="57">
        <v>0</v>
      </c>
      <c r="H1210" s="57">
        <v>0.8</v>
      </c>
      <c r="I1210" s="57">
        <v>0.47189999999999999</v>
      </c>
      <c r="J1210" s="33">
        <f t="shared" si="21"/>
        <v>0.8</v>
      </c>
      <c r="K1210" s="33">
        <f t="shared" si="22"/>
        <v>0.47189999999999999</v>
      </c>
    </row>
    <row r="1211" spans="1:11" x14ac:dyDescent="0.2">
      <c r="A1211" s="70">
        <v>44704</v>
      </c>
      <c r="B1211" s="57">
        <v>2020</v>
      </c>
      <c r="C1211" s="57" t="s">
        <v>176</v>
      </c>
      <c r="D1211" s="57" t="s">
        <v>177</v>
      </c>
      <c r="E1211" s="57" t="s">
        <v>175</v>
      </c>
      <c r="F1211" s="57">
        <f t="shared" ref="F1211:F1296" si="23">IF(D1211="old",1,0)</f>
        <v>0</v>
      </c>
      <c r="G1211" s="57">
        <v>0</v>
      </c>
      <c r="H1211" s="57">
        <v>0.44</v>
      </c>
      <c r="I1211" s="57">
        <v>0.24349999999999999</v>
      </c>
      <c r="J1211" s="33">
        <f t="shared" si="21"/>
        <v>0.44</v>
      </c>
      <c r="K1211" s="33">
        <f t="shared" si="22"/>
        <v>0.24349999999999999</v>
      </c>
    </row>
    <row r="1212" spans="1:11" x14ac:dyDescent="0.2">
      <c r="A1212" s="70">
        <v>44704</v>
      </c>
      <c r="B1212" s="57">
        <v>2301</v>
      </c>
      <c r="C1212" s="57" t="s">
        <v>176</v>
      </c>
      <c r="D1212" s="57" t="s">
        <v>174</v>
      </c>
      <c r="E1212" s="57" t="s">
        <v>178</v>
      </c>
      <c r="F1212" s="57">
        <f t="shared" si="23"/>
        <v>1</v>
      </c>
      <c r="G1212" s="57">
        <v>0</v>
      </c>
      <c r="H1212" s="57">
        <v>4.22</v>
      </c>
      <c r="I1212" s="57">
        <v>2.6638000000000002</v>
      </c>
      <c r="J1212" s="33">
        <f t="shared" si="21"/>
        <v>4.22</v>
      </c>
      <c r="K1212" s="33">
        <f t="shared" si="22"/>
        <v>2.6638000000000002</v>
      </c>
    </row>
    <row r="1213" spans="1:11" x14ac:dyDescent="0.2">
      <c r="A1213" s="70">
        <v>44704</v>
      </c>
      <c r="B1213" s="57">
        <v>2347</v>
      </c>
      <c r="C1213" s="57" t="s">
        <v>176</v>
      </c>
      <c r="D1213" s="57" t="s">
        <v>177</v>
      </c>
      <c r="E1213" s="57" t="s">
        <v>178</v>
      </c>
      <c r="F1213" s="57">
        <f t="shared" si="23"/>
        <v>0</v>
      </c>
      <c r="G1213" s="57">
        <v>0</v>
      </c>
      <c r="H1213" s="57">
        <v>1.42</v>
      </c>
      <c r="I1213" s="57">
        <v>0.76849999999999996</v>
      </c>
      <c r="J1213" s="33">
        <f t="shared" si="21"/>
        <v>1.42</v>
      </c>
      <c r="K1213" s="33">
        <f t="shared" si="22"/>
        <v>0.76849999999999996</v>
      </c>
    </row>
    <row r="1214" spans="1:11" x14ac:dyDescent="0.2">
      <c r="A1214" s="70">
        <v>44704</v>
      </c>
      <c r="B1214" s="57">
        <v>2331</v>
      </c>
      <c r="C1214" s="57" t="s">
        <v>176</v>
      </c>
      <c r="D1214" s="57" t="s">
        <v>174</v>
      </c>
      <c r="E1214" s="57" t="s">
        <v>175</v>
      </c>
      <c r="F1214" s="57">
        <f t="shared" si="23"/>
        <v>1</v>
      </c>
      <c r="G1214" s="57">
        <v>0</v>
      </c>
      <c r="H1214" s="57">
        <v>0.34</v>
      </c>
      <c r="I1214" s="57">
        <v>0.23569999999999999</v>
      </c>
      <c r="J1214" s="33">
        <f t="shared" si="21"/>
        <v>0.34</v>
      </c>
      <c r="K1214" s="33">
        <f t="shared" si="22"/>
        <v>0.23569999999999999</v>
      </c>
    </row>
    <row r="1215" spans="1:11" x14ac:dyDescent="0.2">
      <c r="A1215" s="70">
        <v>44704</v>
      </c>
      <c r="B1215" s="57">
        <v>2347</v>
      </c>
      <c r="C1215" s="57" t="s">
        <v>176</v>
      </c>
      <c r="D1215" s="57" t="s">
        <v>177</v>
      </c>
      <c r="E1215" s="57" t="s">
        <v>175</v>
      </c>
      <c r="F1215" s="57">
        <f t="shared" si="23"/>
        <v>0</v>
      </c>
      <c r="G1215" s="57">
        <v>0</v>
      </c>
      <c r="H1215" s="57">
        <v>0.08</v>
      </c>
      <c r="I1215" s="57">
        <v>4.9500000000000002E-2</v>
      </c>
      <c r="J1215" s="33">
        <f t="shared" si="21"/>
        <v>0.08</v>
      </c>
      <c r="K1215" s="33">
        <f t="shared" si="22"/>
        <v>4.9500000000000002E-2</v>
      </c>
    </row>
    <row r="1216" spans="1:11" x14ac:dyDescent="0.2">
      <c r="A1216" s="70">
        <v>44704</v>
      </c>
      <c r="B1216" s="57">
        <v>2030</v>
      </c>
      <c r="C1216" s="57" t="s">
        <v>176</v>
      </c>
      <c r="D1216" s="57" t="s">
        <v>177</v>
      </c>
      <c r="E1216" s="57" t="s">
        <v>178</v>
      </c>
      <c r="F1216" s="57">
        <f t="shared" si="23"/>
        <v>0</v>
      </c>
      <c r="G1216" s="57">
        <v>0</v>
      </c>
      <c r="H1216" s="57">
        <v>2.14</v>
      </c>
      <c r="I1216" s="57">
        <v>1.232</v>
      </c>
      <c r="J1216" s="33">
        <f t="shared" si="21"/>
        <v>2.14</v>
      </c>
      <c r="K1216" s="33">
        <f t="shared" si="22"/>
        <v>1.232</v>
      </c>
    </row>
    <row r="1217" spans="1:11" x14ac:dyDescent="0.2">
      <c r="A1217" s="70">
        <v>44704</v>
      </c>
      <c r="B1217" s="57">
        <v>2030</v>
      </c>
      <c r="C1217" s="57" t="s">
        <v>176</v>
      </c>
      <c r="D1217" s="57" t="s">
        <v>177</v>
      </c>
      <c r="E1217" s="57" t="s">
        <v>175</v>
      </c>
      <c r="F1217" s="57">
        <f t="shared" si="23"/>
        <v>0</v>
      </c>
      <c r="G1217" s="57">
        <v>0</v>
      </c>
      <c r="H1217" s="57">
        <v>0.12</v>
      </c>
      <c r="I1217" s="57">
        <v>7.1800000000000003E-2</v>
      </c>
      <c r="J1217" s="33">
        <f t="shared" si="21"/>
        <v>0.12</v>
      </c>
      <c r="K1217" s="33">
        <f t="shared" si="22"/>
        <v>7.1800000000000003E-2</v>
      </c>
    </row>
    <row r="1218" spans="1:11" x14ac:dyDescent="0.2">
      <c r="A1218" s="70">
        <v>44704</v>
      </c>
      <c r="B1218" s="57">
        <v>2029</v>
      </c>
      <c r="C1218" s="57" t="s">
        <v>176</v>
      </c>
      <c r="D1218" s="57" t="s">
        <v>174</v>
      </c>
      <c r="E1218" s="57" t="s">
        <v>175</v>
      </c>
      <c r="F1218" s="57">
        <f t="shared" si="23"/>
        <v>1</v>
      </c>
      <c r="G1218" s="57">
        <v>0</v>
      </c>
      <c r="H1218" s="57">
        <v>1.02</v>
      </c>
      <c r="I1218" s="57">
        <v>0.63080000000000003</v>
      </c>
      <c r="J1218" s="33">
        <f t="shared" si="21"/>
        <v>1.02</v>
      </c>
      <c r="K1218" s="33">
        <f t="shared" si="22"/>
        <v>0.63080000000000003</v>
      </c>
    </row>
    <row r="1219" spans="1:11" x14ac:dyDescent="0.2">
      <c r="A1219" s="70">
        <v>44704</v>
      </c>
      <c r="B1219" s="57">
        <v>2011</v>
      </c>
      <c r="C1219" s="57" t="s">
        <v>176</v>
      </c>
      <c r="D1219" s="57" t="s">
        <v>177</v>
      </c>
      <c r="E1219" s="57" t="s">
        <v>178</v>
      </c>
      <c r="F1219" s="57">
        <f t="shared" si="23"/>
        <v>0</v>
      </c>
      <c r="G1219" s="57">
        <v>0</v>
      </c>
      <c r="H1219" s="57">
        <v>2.37</v>
      </c>
      <c r="I1219" s="57">
        <v>1.3793</v>
      </c>
      <c r="J1219" s="33">
        <f t="shared" si="21"/>
        <v>2.37</v>
      </c>
      <c r="K1219" s="33">
        <f t="shared" si="22"/>
        <v>1.3793</v>
      </c>
    </row>
    <row r="1220" spans="1:11" x14ac:dyDescent="0.2">
      <c r="A1220" s="70">
        <v>44704</v>
      </c>
      <c r="B1220" s="57">
        <v>2030</v>
      </c>
      <c r="C1220" s="57" t="s">
        <v>176</v>
      </c>
      <c r="D1220" s="57" t="s">
        <v>174</v>
      </c>
      <c r="E1220" s="57" t="s">
        <v>178</v>
      </c>
      <c r="F1220" s="57">
        <f t="shared" si="23"/>
        <v>1</v>
      </c>
      <c r="G1220" s="57">
        <v>0</v>
      </c>
      <c r="H1220" s="57">
        <v>0.49</v>
      </c>
      <c r="I1220" s="57">
        <v>0.30599999999999999</v>
      </c>
      <c r="J1220" s="33">
        <f t="shared" si="21"/>
        <v>0.49</v>
      </c>
      <c r="K1220" s="33">
        <f t="shared" si="22"/>
        <v>0.30599999999999999</v>
      </c>
    </row>
    <row r="1221" spans="1:11" x14ac:dyDescent="0.2">
      <c r="A1221" s="70">
        <v>44704</v>
      </c>
      <c r="B1221" s="57">
        <v>2020</v>
      </c>
      <c r="C1221" s="57" t="s">
        <v>176</v>
      </c>
      <c r="D1221" s="57" t="s">
        <v>174</v>
      </c>
      <c r="E1221" s="57" t="s">
        <v>175</v>
      </c>
      <c r="F1221" s="57">
        <f t="shared" si="23"/>
        <v>1</v>
      </c>
      <c r="G1221" s="57">
        <v>0</v>
      </c>
      <c r="H1221" s="57">
        <v>0.75</v>
      </c>
      <c r="I1221" s="57">
        <v>0.43319999999999997</v>
      </c>
      <c r="J1221" s="33">
        <f t="shared" si="21"/>
        <v>0.75</v>
      </c>
      <c r="K1221" s="33">
        <f t="shared" si="22"/>
        <v>0.43319999999999997</v>
      </c>
    </row>
    <row r="1222" spans="1:11" x14ac:dyDescent="0.2">
      <c r="A1222" s="70">
        <v>44704</v>
      </c>
      <c r="B1222" s="57">
        <v>2384</v>
      </c>
      <c r="C1222" s="57" t="s">
        <v>176</v>
      </c>
      <c r="D1222" s="57" t="s">
        <v>177</v>
      </c>
      <c r="E1222" s="57" t="s">
        <v>178</v>
      </c>
      <c r="F1222" s="57">
        <f t="shared" si="23"/>
        <v>0</v>
      </c>
      <c r="G1222" s="57">
        <v>0</v>
      </c>
      <c r="H1222" s="57">
        <v>2.2599999999999998</v>
      </c>
      <c r="I1222" s="57">
        <v>1.3048</v>
      </c>
      <c r="J1222" s="33">
        <f t="shared" si="21"/>
        <v>2.2599999999999998</v>
      </c>
      <c r="K1222" s="33">
        <f t="shared" si="22"/>
        <v>1.3048</v>
      </c>
    </row>
    <row r="1223" spans="1:11" x14ac:dyDescent="0.2">
      <c r="A1223" s="70">
        <v>44704</v>
      </c>
      <c r="B1223" s="57">
        <v>2384</v>
      </c>
      <c r="C1223" s="57" t="s">
        <v>176</v>
      </c>
      <c r="D1223" s="57" t="s">
        <v>177</v>
      </c>
      <c r="E1223" s="57" t="s">
        <v>175</v>
      </c>
      <c r="F1223" s="57">
        <f t="shared" si="23"/>
        <v>0</v>
      </c>
      <c r="G1223" s="57">
        <v>0</v>
      </c>
      <c r="H1223" s="57">
        <v>0.22</v>
      </c>
      <c r="I1223" s="57">
        <v>0.1331</v>
      </c>
      <c r="J1223" s="33">
        <f t="shared" si="21"/>
        <v>0.22</v>
      </c>
      <c r="K1223" s="33">
        <f t="shared" si="22"/>
        <v>0.1331</v>
      </c>
    </row>
    <row r="1224" spans="1:11" x14ac:dyDescent="0.2">
      <c r="A1224" s="70">
        <v>44704</v>
      </c>
      <c r="B1224" s="57">
        <v>2028</v>
      </c>
      <c r="C1224" s="57" t="s">
        <v>176</v>
      </c>
      <c r="D1224" s="57" t="s">
        <v>177</v>
      </c>
      <c r="E1224" s="57" t="s">
        <v>175</v>
      </c>
      <c r="F1224" s="57">
        <f t="shared" si="23"/>
        <v>0</v>
      </c>
      <c r="G1224" s="57">
        <v>0</v>
      </c>
      <c r="H1224" s="57">
        <v>0.36</v>
      </c>
      <c r="I1224" s="57">
        <v>0.2127</v>
      </c>
      <c r="J1224" s="33">
        <f t="shared" si="21"/>
        <v>0.36</v>
      </c>
      <c r="K1224" s="33">
        <f t="shared" si="22"/>
        <v>0.2127</v>
      </c>
    </row>
    <row r="1225" spans="1:11" x14ac:dyDescent="0.2">
      <c r="A1225" s="70">
        <v>44704</v>
      </c>
      <c r="B1225" s="57">
        <v>2021</v>
      </c>
      <c r="C1225" s="57" t="s">
        <v>176</v>
      </c>
      <c r="D1225" s="57" t="s">
        <v>177</v>
      </c>
      <c r="E1225" s="57" t="s">
        <v>175</v>
      </c>
      <c r="F1225" s="57">
        <f t="shared" si="23"/>
        <v>0</v>
      </c>
      <c r="G1225" s="57">
        <v>0</v>
      </c>
      <c r="H1225" s="57">
        <v>0.11</v>
      </c>
      <c r="I1225" s="57">
        <v>6.6400000000000001E-2</v>
      </c>
      <c r="J1225" s="33">
        <f t="shared" si="21"/>
        <v>0.11</v>
      </c>
      <c r="K1225" s="33">
        <f t="shared" si="22"/>
        <v>6.6400000000000001E-2</v>
      </c>
    </row>
    <row r="1226" spans="1:11" x14ac:dyDescent="0.2">
      <c r="A1226" s="70">
        <v>44704</v>
      </c>
      <c r="B1226" s="57">
        <v>2384</v>
      </c>
      <c r="C1226" s="57" t="s">
        <v>176</v>
      </c>
      <c r="D1226" s="57" t="s">
        <v>174</v>
      </c>
      <c r="E1226" s="57" t="s">
        <v>175</v>
      </c>
      <c r="F1226" s="57">
        <f t="shared" si="23"/>
        <v>1</v>
      </c>
      <c r="G1226" s="57">
        <v>0</v>
      </c>
      <c r="H1226" s="57">
        <v>0.56000000000000005</v>
      </c>
      <c r="I1226" s="57">
        <v>0.34910000000000002</v>
      </c>
      <c r="J1226" s="33">
        <f t="shared" si="21"/>
        <v>0.56000000000000005</v>
      </c>
      <c r="K1226" s="33">
        <f t="shared" si="22"/>
        <v>0.34910000000000002</v>
      </c>
    </row>
    <row r="1227" spans="1:11" x14ac:dyDescent="0.2">
      <c r="A1227" s="70">
        <v>44704</v>
      </c>
      <c r="B1227" s="57">
        <v>2029</v>
      </c>
      <c r="C1227" s="57" t="s">
        <v>176</v>
      </c>
      <c r="D1227" s="57" t="s">
        <v>177</v>
      </c>
      <c r="E1227" s="57" t="s">
        <v>175</v>
      </c>
      <c r="F1227" s="57">
        <f t="shared" si="23"/>
        <v>0</v>
      </c>
      <c r="G1227" s="57">
        <v>0</v>
      </c>
      <c r="H1227" s="57">
        <v>0.04</v>
      </c>
      <c r="I1227" s="57">
        <v>2.3E-2</v>
      </c>
      <c r="J1227" s="33">
        <f t="shared" si="21"/>
        <v>0.04</v>
      </c>
      <c r="K1227" s="33">
        <f t="shared" si="22"/>
        <v>2.3E-2</v>
      </c>
    </row>
    <row r="1228" spans="1:11" x14ac:dyDescent="0.2">
      <c r="A1228" s="70">
        <v>44704</v>
      </c>
      <c r="B1228" s="57">
        <v>2380</v>
      </c>
      <c r="C1228" s="57" t="s">
        <v>176</v>
      </c>
      <c r="D1228" s="57" t="s">
        <v>174</v>
      </c>
      <c r="E1228" s="57" t="s">
        <v>178</v>
      </c>
      <c r="F1228" s="57">
        <f t="shared" si="23"/>
        <v>1</v>
      </c>
      <c r="G1228" s="57">
        <v>0</v>
      </c>
      <c r="H1228" s="57">
        <v>2.59</v>
      </c>
      <c r="I1228" s="57">
        <v>1.6711</v>
      </c>
      <c r="J1228" s="33">
        <f t="shared" si="21"/>
        <v>2.59</v>
      </c>
      <c r="K1228" s="33">
        <f t="shared" si="22"/>
        <v>1.6711</v>
      </c>
    </row>
    <row r="1229" spans="1:11" x14ac:dyDescent="0.2">
      <c r="A1229" s="70">
        <v>44704</v>
      </c>
      <c r="B1229" s="57">
        <v>2021</v>
      </c>
      <c r="C1229" s="57" t="s">
        <v>176</v>
      </c>
      <c r="D1229" s="57" t="s">
        <v>174</v>
      </c>
      <c r="E1229" s="57" t="s">
        <v>175</v>
      </c>
      <c r="F1229" s="57">
        <f t="shared" si="23"/>
        <v>1</v>
      </c>
      <c r="G1229" s="57">
        <v>0</v>
      </c>
      <c r="H1229" s="57">
        <v>0.46</v>
      </c>
      <c r="I1229" s="57">
        <v>0.28489999999999999</v>
      </c>
      <c r="J1229" s="33">
        <f t="shared" si="21"/>
        <v>0.46</v>
      </c>
      <c r="K1229" s="33">
        <f t="shared" si="22"/>
        <v>0.28489999999999999</v>
      </c>
    </row>
    <row r="1230" spans="1:11" x14ac:dyDescent="0.2">
      <c r="A1230" s="70">
        <v>44704</v>
      </c>
      <c r="B1230" s="57">
        <v>2372</v>
      </c>
      <c r="C1230" s="57" t="s">
        <v>176</v>
      </c>
      <c r="D1230" s="57" t="s">
        <v>177</v>
      </c>
      <c r="E1230" s="57" t="s">
        <v>178</v>
      </c>
      <c r="F1230" s="57">
        <f t="shared" si="23"/>
        <v>0</v>
      </c>
      <c r="G1230" s="57">
        <v>0</v>
      </c>
      <c r="H1230" s="57">
        <v>1.28</v>
      </c>
      <c r="I1230" s="57">
        <v>0.75109999999999999</v>
      </c>
      <c r="J1230" s="33">
        <f t="shared" si="21"/>
        <v>1.28</v>
      </c>
      <c r="K1230" s="33">
        <f t="shared" si="22"/>
        <v>0.75109999999999999</v>
      </c>
    </row>
    <row r="1231" spans="1:11" x14ac:dyDescent="0.2">
      <c r="A1231" s="70">
        <v>44704</v>
      </c>
      <c r="B1231" s="57">
        <v>2028</v>
      </c>
      <c r="C1231" s="57" t="s">
        <v>176</v>
      </c>
      <c r="D1231" s="57" t="s">
        <v>177</v>
      </c>
      <c r="E1231" s="57" t="s">
        <v>178</v>
      </c>
      <c r="F1231" s="57">
        <f t="shared" si="23"/>
        <v>0</v>
      </c>
      <c r="G1231" s="57">
        <v>0</v>
      </c>
      <c r="H1231" s="57">
        <v>3.27</v>
      </c>
      <c r="I1231" s="57">
        <v>1.9274</v>
      </c>
      <c r="J1231" s="33">
        <f t="shared" si="21"/>
        <v>3.27</v>
      </c>
      <c r="K1231" s="33">
        <f t="shared" si="22"/>
        <v>1.9274</v>
      </c>
    </row>
    <row r="1232" spans="1:11" x14ac:dyDescent="0.2">
      <c r="A1232" s="70">
        <v>44704</v>
      </c>
      <c r="B1232" s="57">
        <v>2371</v>
      </c>
      <c r="C1232" s="57" t="s">
        <v>176</v>
      </c>
      <c r="D1232" s="57" t="s">
        <v>174</v>
      </c>
      <c r="E1232" s="57" t="s">
        <v>175</v>
      </c>
      <c r="F1232" s="57">
        <f t="shared" si="23"/>
        <v>1</v>
      </c>
      <c r="G1232" s="57">
        <v>0</v>
      </c>
      <c r="H1232" s="57">
        <v>0.32</v>
      </c>
      <c r="I1232" s="57">
        <v>0.20050000000000001</v>
      </c>
      <c r="J1232" s="33">
        <f t="shared" si="21"/>
        <v>0.32</v>
      </c>
      <c r="K1232" s="33">
        <f t="shared" si="22"/>
        <v>0.20050000000000001</v>
      </c>
    </row>
    <row r="1233" spans="1:11" x14ac:dyDescent="0.2">
      <c r="A1233" s="70">
        <v>44704</v>
      </c>
      <c r="B1233" s="57">
        <v>2011</v>
      </c>
      <c r="C1233" s="57" t="s">
        <v>176</v>
      </c>
      <c r="D1233" s="57" t="s">
        <v>174</v>
      </c>
      <c r="E1233" s="57" t="s">
        <v>175</v>
      </c>
      <c r="F1233" s="57">
        <f t="shared" si="23"/>
        <v>1</v>
      </c>
      <c r="G1233" s="57">
        <v>0</v>
      </c>
      <c r="H1233" s="57">
        <v>0.45</v>
      </c>
      <c r="I1233" s="57">
        <v>0.27579999999999999</v>
      </c>
      <c r="J1233" s="33">
        <f t="shared" si="21"/>
        <v>0.45</v>
      </c>
      <c r="K1233" s="33">
        <f t="shared" si="22"/>
        <v>0.27579999999999999</v>
      </c>
    </row>
    <row r="1234" spans="1:11" x14ac:dyDescent="0.2">
      <c r="A1234" s="70">
        <v>44704</v>
      </c>
      <c r="B1234" s="57">
        <v>2025</v>
      </c>
      <c r="C1234" s="57" t="s">
        <v>176</v>
      </c>
      <c r="D1234" s="57" t="s">
        <v>174</v>
      </c>
      <c r="E1234" s="57" t="s">
        <v>175</v>
      </c>
      <c r="F1234" s="57">
        <f t="shared" si="23"/>
        <v>1</v>
      </c>
      <c r="G1234" s="57">
        <v>0</v>
      </c>
      <c r="H1234" s="57">
        <v>0.1</v>
      </c>
      <c r="I1234" s="57">
        <v>6.3899999999999998E-2</v>
      </c>
      <c r="J1234" s="33">
        <f t="shared" si="21"/>
        <v>0.1</v>
      </c>
      <c r="K1234" s="33">
        <f t="shared" si="22"/>
        <v>6.3899999999999998E-2</v>
      </c>
    </row>
    <row r="1235" spans="1:11" x14ac:dyDescent="0.2">
      <c r="A1235" s="70">
        <v>44704</v>
      </c>
      <c r="B1235" s="57">
        <v>2024</v>
      </c>
      <c r="C1235" s="57" t="s">
        <v>176</v>
      </c>
      <c r="D1235" s="57" t="s">
        <v>177</v>
      </c>
      <c r="E1235" s="57" t="s">
        <v>175</v>
      </c>
      <c r="F1235" s="57">
        <f t="shared" si="23"/>
        <v>0</v>
      </c>
      <c r="G1235" s="57">
        <v>0</v>
      </c>
      <c r="H1235" s="57">
        <v>0.19</v>
      </c>
      <c r="I1235" s="57">
        <v>0.108</v>
      </c>
      <c r="J1235" s="33">
        <f t="shared" si="21"/>
        <v>0.19</v>
      </c>
      <c r="K1235" s="33">
        <f t="shared" si="22"/>
        <v>0.108</v>
      </c>
    </row>
    <row r="1236" spans="1:11" x14ac:dyDescent="0.2">
      <c r="A1236" s="70">
        <v>44704</v>
      </c>
      <c r="B1236" s="57">
        <v>2383</v>
      </c>
      <c r="C1236" s="57" t="s">
        <v>176</v>
      </c>
      <c r="D1236" s="57" t="s">
        <v>177</v>
      </c>
      <c r="E1236" s="57" t="s">
        <v>178</v>
      </c>
      <c r="F1236" s="57">
        <f t="shared" si="23"/>
        <v>0</v>
      </c>
      <c r="G1236" s="57">
        <v>0</v>
      </c>
      <c r="H1236" s="57">
        <v>2.4</v>
      </c>
      <c r="I1236" s="57">
        <v>1.3994</v>
      </c>
      <c r="J1236" s="33">
        <f t="shared" si="21"/>
        <v>2.4</v>
      </c>
      <c r="K1236" s="33">
        <f t="shared" si="22"/>
        <v>1.3994</v>
      </c>
    </row>
    <row r="1237" spans="1:11" x14ac:dyDescent="0.2">
      <c r="A1237" s="70">
        <v>44704</v>
      </c>
      <c r="B1237" s="57">
        <v>2027</v>
      </c>
      <c r="C1237" s="57" t="s">
        <v>176</v>
      </c>
      <c r="D1237" s="57" t="s">
        <v>177</v>
      </c>
      <c r="E1237" s="57" t="s">
        <v>178</v>
      </c>
      <c r="F1237" s="57">
        <f t="shared" si="23"/>
        <v>0</v>
      </c>
      <c r="G1237" s="57">
        <v>0</v>
      </c>
      <c r="H1237" s="57">
        <v>2.0499999999999998</v>
      </c>
      <c r="I1237" s="57">
        <v>1.1809000000000001</v>
      </c>
      <c r="J1237" s="33">
        <f t="shared" si="21"/>
        <v>2.0499999999999998</v>
      </c>
      <c r="K1237" s="33">
        <f t="shared" si="22"/>
        <v>1.1809000000000001</v>
      </c>
    </row>
    <row r="1238" spans="1:11" x14ac:dyDescent="0.2">
      <c r="A1238" s="70">
        <v>44704</v>
      </c>
      <c r="B1238" s="57">
        <v>2029</v>
      </c>
      <c r="C1238" s="57" t="s">
        <v>176</v>
      </c>
      <c r="D1238" s="57" t="s">
        <v>174</v>
      </c>
      <c r="E1238" s="57" t="s">
        <v>178</v>
      </c>
      <c r="F1238" s="57">
        <f t="shared" si="23"/>
        <v>1</v>
      </c>
      <c r="G1238" s="57">
        <v>0</v>
      </c>
      <c r="H1238" s="57">
        <v>5.38</v>
      </c>
      <c r="I1238" s="57">
        <v>3.5114999999999998</v>
      </c>
      <c r="J1238" s="33">
        <f t="shared" si="21"/>
        <v>5.38</v>
      </c>
      <c r="K1238" s="33">
        <f t="shared" si="22"/>
        <v>3.5114999999999998</v>
      </c>
    </row>
    <row r="1239" spans="1:11" x14ac:dyDescent="0.2">
      <c r="A1239" s="70">
        <v>44704</v>
      </c>
      <c r="B1239" s="57">
        <v>2021</v>
      </c>
      <c r="C1239" s="57" t="s">
        <v>176</v>
      </c>
      <c r="D1239" s="57" t="s">
        <v>177</v>
      </c>
      <c r="E1239" s="57" t="s">
        <v>178</v>
      </c>
      <c r="F1239" s="57">
        <f t="shared" si="23"/>
        <v>0</v>
      </c>
      <c r="G1239" s="57">
        <v>0</v>
      </c>
      <c r="H1239" s="57">
        <v>1.56</v>
      </c>
      <c r="I1239" s="57">
        <v>0.9032</v>
      </c>
      <c r="J1239" s="33">
        <f t="shared" si="21"/>
        <v>1.56</v>
      </c>
      <c r="K1239" s="33">
        <f t="shared" si="22"/>
        <v>0.9032</v>
      </c>
    </row>
    <row r="1240" spans="1:11" x14ac:dyDescent="0.2">
      <c r="A1240" s="70">
        <v>44704</v>
      </c>
      <c r="B1240" s="57">
        <v>2030</v>
      </c>
      <c r="C1240" s="57" t="s">
        <v>176</v>
      </c>
      <c r="D1240" s="57" t="s">
        <v>174</v>
      </c>
      <c r="E1240" s="57" t="s">
        <v>175</v>
      </c>
      <c r="F1240" s="57">
        <f t="shared" si="23"/>
        <v>1</v>
      </c>
      <c r="G1240" s="57">
        <v>0</v>
      </c>
      <c r="H1240" s="57">
        <v>0.44</v>
      </c>
      <c r="I1240" s="57">
        <v>0.26100000000000001</v>
      </c>
      <c r="J1240" s="33">
        <f t="shared" si="21"/>
        <v>0.44</v>
      </c>
      <c r="K1240" s="33">
        <f t="shared" si="22"/>
        <v>0.26100000000000001</v>
      </c>
    </row>
    <row r="1241" spans="1:11" x14ac:dyDescent="0.2">
      <c r="A1241" s="70">
        <v>44704</v>
      </c>
      <c r="B1241" s="57">
        <v>2372</v>
      </c>
      <c r="C1241" s="57" t="s">
        <v>176</v>
      </c>
      <c r="D1241" s="57" t="s">
        <v>177</v>
      </c>
      <c r="E1241" s="57" t="s">
        <v>175</v>
      </c>
      <c r="F1241" s="57">
        <f t="shared" si="23"/>
        <v>0</v>
      </c>
      <c r="G1241" s="57">
        <v>0</v>
      </c>
      <c r="H1241" s="57">
        <v>0.1</v>
      </c>
      <c r="I1241" s="57">
        <v>5.9799999999999999E-2</v>
      </c>
      <c r="J1241" s="33">
        <f t="shared" si="21"/>
        <v>0.1</v>
      </c>
      <c r="K1241" s="33">
        <f t="shared" si="22"/>
        <v>5.9799999999999999E-2</v>
      </c>
    </row>
    <row r="1242" spans="1:11" x14ac:dyDescent="0.2">
      <c r="A1242" s="70">
        <v>44704</v>
      </c>
      <c r="B1242" s="57">
        <v>2020</v>
      </c>
      <c r="C1242" s="57" t="s">
        <v>176</v>
      </c>
      <c r="D1242" s="57" t="s">
        <v>177</v>
      </c>
      <c r="E1242" s="57" t="s">
        <v>178</v>
      </c>
      <c r="F1242" s="57">
        <f t="shared" si="23"/>
        <v>0</v>
      </c>
      <c r="G1242" s="57">
        <v>0</v>
      </c>
      <c r="H1242" s="57">
        <v>3.31</v>
      </c>
      <c r="I1242" s="57">
        <v>1.8391</v>
      </c>
      <c r="J1242" s="33">
        <f t="shared" si="21"/>
        <v>3.31</v>
      </c>
      <c r="K1242" s="33">
        <f t="shared" si="22"/>
        <v>1.8391</v>
      </c>
    </row>
    <row r="1243" spans="1:11" x14ac:dyDescent="0.2">
      <c r="A1243" s="70">
        <v>44704</v>
      </c>
      <c r="B1243" s="57">
        <v>2027</v>
      </c>
      <c r="C1243" s="57" t="s">
        <v>176</v>
      </c>
      <c r="D1243" s="57" t="s">
        <v>174</v>
      </c>
      <c r="E1243" s="57" t="s">
        <v>175</v>
      </c>
      <c r="F1243" s="57">
        <f t="shared" si="23"/>
        <v>1</v>
      </c>
      <c r="G1243" s="57">
        <v>0</v>
      </c>
      <c r="H1243" s="57">
        <v>0.43</v>
      </c>
      <c r="I1243" s="57">
        <v>0.26669999999999999</v>
      </c>
      <c r="J1243" s="33">
        <f t="shared" si="21"/>
        <v>0.43</v>
      </c>
      <c r="K1243" s="33">
        <f t="shared" si="22"/>
        <v>0.26669999999999999</v>
      </c>
    </row>
    <row r="1244" spans="1:11" x14ac:dyDescent="0.2">
      <c r="A1244" s="70">
        <v>44704</v>
      </c>
      <c r="B1244" s="57">
        <v>2347</v>
      </c>
      <c r="C1244" s="57" t="s">
        <v>176</v>
      </c>
      <c r="D1244" s="57" t="s">
        <v>174</v>
      </c>
      <c r="E1244" s="57" t="s">
        <v>175</v>
      </c>
      <c r="F1244" s="57">
        <f t="shared" si="23"/>
        <v>1</v>
      </c>
      <c r="G1244" s="57">
        <v>0</v>
      </c>
      <c r="H1244" s="57">
        <v>0.68</v>
      </c>
      <c r="I1244" s="57">
        <v>0.38429999999999997</v>
      </c>
      <c r="J1244" s="33">
        <f t="shared" si="21"/>
        <v>0.68</v>
      </c>
      <c r="K1244" s="33">
        <f t="shared" si="22"/>
        <v>0.38429999999999997</v>
      </c>
    </row>
    <row r="1245" spans="1:11" x14ac:dyDescent="0.2">
      <c r="A1245" s="70">
        <v>44704</v>
      </c>
      <c r="B1245" s="57">
        <v>2331</v>
      </c>
      <c r="C1245" s="57" t="s">
        <v>176</v>
      </c>
      <c r="D1245" s="57" t="s">
        <v>174</v>
      </c>
      <c r="E1245" s="57" t="s">
        <v>178</v>
      </c>
      <c r="F1245" s="57">
        <f t="shared" si="23"/>
        <v>1</v>
      </c>
      <c r="G1245" s="57">
        <v>0</v>
      </c>
      <c r="H1245" s="57">
        <v>1.99</v>
      </c>
      <c r="I1245" s="57">
        <v>1.2909999999999999</v>
      </c>
      <c r="J1245" s="33">
        <f t="shared" si="21"/>
        <v>1.99</v>
      </c>
      <c r="K1245" s="33">
        <f t="shared" si="22"/>
        <v>1.2909999999999999</v>
      </c>
    </row>
    <row r="1246" spans="1:11" x14ac:dyDescent="0.2">
      <c r="A1246" s="70">
        <v>44704</v>
      </c>
      <c r="B1246" s="57">
        <v>2025</v>
      </c>
      <c r="C1246" s="57" t="s">
        <v>176</v>
      </c>
      <c r="D1246" s="57" t="s">
        <v>177</v>
      </c>
      <c r="E1246" s="57" t="s">
        <v>178</v>
      </c>
      <c r="F1246" s="57">
        <f t="shared" si="23"/>
        <v>0</v>
      </c>
      <c r="G1246" s="57">
        <v>0</v>
      </c>
      <c r="H1246" s="57">
        <v>1.66</v>
      </c>
      <c r="I1246" s="57">
        <v>0.93710000000000004</v>
      </c>
      <c r="J1246" s="33">
        <f t="shared" si="21"/>
        <v>1.66</v>
      </c>
      <c r="K1246" s="33">
        <f t="shared" si="22"/>
        <v>0.93710000000000004</v>
      </c>
    </row>
    <row r="1247" spans="1:11" x14ac:dyDescent="0.2">
      <c r="A1247" s="70">
        <v>44704</v>
      </c>
      <c r="B1247" s="57">
        <v>2301</v>
      </c>
      <c r="C1247" s="57" t="s">
        <v>176</v>
      </c>
      <c r="D1247" s="57" t="s">
        <v>174</v>
      </c>
      <c r="E1247" s="57" t="s">
        <v>175</v>
      </c>
      <c r="F1247" s="57">
        <f t="shared" si="23"/>
        <v>1</v>
      </c>
      <c r="G1247" s="57">
        <v>0</v>
      </c>
      <c r="H1247" s="57">
        <v>0.67</v>
      </c>
      <c r="I1247" s="57">
        <v>0.42570000000000002</v>
      </c>
      <c r="J1247" s="33">
        <f t="shared" si="21"/>
        <v>0.67</v>
      </c>
      <c r="K1247" s="33">
        <f t="shared" si="22"/>
        <v>0.42570000000000002</v>
      </c>
    </row>
    <row r="1248" spans="1:11" x14ac:dyDescent="0.2">
      <c r="A1248" s="70">
        <v>44704</v>
      </c>
      <c r="B1248" s="57">
        <v>2011</v>
      </c>
      <c r="C1248" s="57" t="s">
        <v>176</v>
      </c>
      <c r="D1248" s="57" t="s">
        <v>177</v>
      </c>
      <c r="E1248" s="57" t="s">
        <v>175</v>
      </c>
      <c r="F1248" s="57">
        <f t="shared" si="23"/>
        <v>0</v>
      </c>
      <c r="G1248" s="57">
        <v>0</v>
      </c>
      <c r="H1248" s="57">
        <v>0.21</v>
      </c>
      <c r="I1248" s="57">
        <v>0.11940000000000001</v>
      </c>
      <c r="J1248" s="33">
        <f t="shared" si="21"/>
        <v>0.21</v>
      </c>
      <c r="K1248" s="33">
        <f t="shared" si="22"/>
        <v>0.11940000000000001</v>
      </c>
    </row>
    <row r="1249" spans="1:11" x14ac:dyDescent="0.2">
      <c r="A1249" s="70">
        <v>44704</v>
      </c>
      <c r="B1249" s="57">
        <v>2025</v>
      </c>
      <c r="C1249" s="57" t="s">
        <v>176</v>
      </c>
      <c r="D1249" s="57" t="s">
        <v>177</v>
      </c>
      <c r="E1249" s="57" t="s">
        <v>175</v>
      </c>
      <c r="F1249" s="57">
        <f t="shared" si="23"/>
        <v>0</v>
      </c>
      <c r="G1249" s="57">
        <v>0</v>
      </c>
      <c r="H1249" s="57">
        <v>0.2</v>
      </c>
      <c r="I1249" s="57">
        <v>0.1232</v>
      </c>
      <c r="J1249" s="33">
        <f t="shared" si="21"/>
        <v>0.2</v>
      </c>
      <c r="K1249" s="33">
        <f t="shared" si="22"/>
        <v>0.1232</v>
      </c>
    </row>
    <row r="1250" spans="1:11" x14ac:dyDescent="0.2">
      <c r="A1250" s="70">
        <v>44704</v>
      </c>
      <c r="B1250" s="57">
        <v>2380</v>
      </c>
      <c r="C1250" s="57" t="s">
        <v>176</v>
      </c>
      <c r="D1250" s="57" t="s">
        <v>174</v>
      </c>
      <c r="E1250" s="57" t="s">
        <v>175</v>
      </c>
      <c r="F1250" s="57">
        <f t="shared" si="23"/>
        <v>1</v>
      </c>
      <c r="G1250" s="57">
        <v>0</v>
      </c>
      <c r="H1250" s="57">
        <v>0.99</v>
      </c>
      <c r="I1250" s="57">
        <v>0.62190000000000001</v>
      </c>
      <c r="J1250" s="33">
        <f t="shared" si="21"/>
        <v>0.99</v>
      </c>
      <c r="K1250" s="33">
        <f t="shared" si="22"/>
        <v>0.62190000000000001</v>
      </c>
    </row>
    <row r="1251" spans="1:11" x14ac:dyDescent="0.2">
      <c r="A1251" s="70">
        <v>44704</v>
      </c>
      <c r="B1251" s="57">
        <v>2028</v>
      </c>
      <c r="C1251" s="57" t="s">
        <v>176</v>
      </c>
      <c r="D1251" s="57" t="s">
        <v>174</v>
      </c>
      <c r="E1251" s="57" t="s">
        <v>175</v>
      </c>
      <c r="F1251" s="57">
        <f t="shared" si="23"/>
        <v>1</v>
      </c>
      <c r="G1251" s="57">
        <v>0</v>
      </c>
      <c r="H1251" s="57">
        <v>0.71</v>
      </c>
      <c r="I1251" s="57">
        <v>0.41589999999999999</v>
      </c>
      <c r="J1251" s="33">
        <f t="shared" si="21"/>
        <v>0.71</v>
      </c>
      <c r="K1251" s="33">
        <f t="shared" si="22"/>
        <v>0.41589999999999999</v>
      </c>
    </row>
    <row r="1252" spans="1:11" x14ac:dyDescent="0.2">
      <c r="A1252" s="70">
        <v>44704</v>
      </c>
      <c r="B1252" s="57">
        <v>2383</v>
      </c>
      <c r="C1252" s="57" t="s">
        <v>176</v>
      </c>
      <c r="D1252" s="57" t="s">
        <v>174</v>
      </c>
      <c r="E1252" s="57" t="s">
        <v>175</v>
      </c>
      <c r="F1252" s="57">
        <f t="shared" si="23"/>
        <v>1</v>
      </c>
      <c r="G1252" s="57">
        <v>0</v>
      </c>
      <c r="H1252" s="57">
        <v>0.57999999999999996</v>
      </c>
      <c r="I1252" s="57">
        <v>0.35099999999999998</v>
      </c>
      <c r="J1252" s="33">
        <f t="shared" si="21"/>
        <v>0.57999999999999996</v>
      </c>
      <c r="K1252" s="33">
        <f t="shared" si="22"/>
        <v>0.35099999999999998</v>
      </c>
    </row>
    <row r="1253" spans="1:11" x14ac:dyDescent="0.2">
      <c r="A1253" s="70">
        <v>44704</v>
      </c>
      <c r="B1253" s="57">
        <v>2370</v>
      </c>
      <c r="C1253" s="57" t="s">
        <v>176</v>
      </c>
      <c r="D1253" s="57" t="s">
        <v>174</v>
      </c>
      <c r="E1253" s="57" t="s">
        <v>175</v>
      </c>
      <c r="F1253" s="57">
        <f t="shared" si="23"/>
        <v>1</v>
      </c>
      <c r="G1253" s="57">
        <v>0</v>
      </c>
      <c r="H1253" s="57">
        <v>0.78</v>
      </c>
      <c r="I1253" s="57">
        <v>0.47849999999999998</v>
      </c>
      <c r="J1253" s="33">
        <f t="shared" si="21"/>
        <v>0.78</v>
      </c>
      <c r="K1253" s="33">
        <f t="shared" si="22"/>
        <v>0.47849999999999998</v>
      </c>
    </row>
    <row r="1254" spans="1:11" x14ac:dyDescent="0.2">
      <c r="A1254" s="70">
        <v>44704</v>
      </c>
      <c r="B1254" s="57">
        <v>2370</v>
      </c>
      <c r="C1254" s="57" t="s">
        <v>176</v>
      </c>
      <c r="D1254" s="57" t="s">
        <v>177</v>
      </c>
      <c r="E1254" s="57" t="s">
        <v>178</v>
      </c>
      <c r="F1254" s="57">
        <f t="shared" si="23"/>
        <v>0</v>
      </c>
      <c r="G1254" s="57">
        <v>0</v>
      </c>
      <c r="H1254" s="57">
        <v>1.25</v>
      </c>
      <c r="I1254" s="57">
        <v>0.68479999999999996</v>
      </c>
      <c r="J1254" s="33">
        <f t="shared" si="21"/>
        <v>1.25</v>
      </c>
      <c r="K1254" s="33">
        <f t="shared" si="22"/>
        <v>0.68479999999999996</v>
      </c>
    </row>
    <row r="1255" spans="1:11" x14ac:dyDescent="0.2">
      <c r="A1255" s="70">
        <v>44704</v>
      </c>
      <c r="B1255" s="57">
        <v>2383</v>
      </c>
      <c r="C1255" s="57" t="s">
        <v>176</v>
      </c>
      <c r="D1255" s="57" t="s">
        <v>177</v>
      </c>
      <c r="E1255" s="57" t="s">
        <v>175</v>
      </c>
      <c r="F1255" s="57">
        <f t="shared" si="23"/>
        <v>0</v>
      </c>
      <c r="G1255" s="57">
        <v>0</v>
      </c>
      <c r="H1255" s="57">
        <v>0.16</v>
      </c>
      <c r="I1255" s="57">
        <v>9.4500000000000001E-2</v>
      </c>
      <c r="J1255" s="33">
        <f t="shared" si="21"/>
        <v>0.16</v>
      </c>
      <c r="K1255" s="33">
        <f t="shared" si="22"/>
        <v>9.4500000000000001E-2</v>
      </c>
    </row>
    <row r="1256" spans="1:11" x14ac:dyDescent="0.2">
      <c r="A1256" s="70">
        <v>44704</v>
      </c>
      <c r="B1256" s="57">
        <v>2005</v>
      </c>
      <c r="C1256" s="57" t="s">
        <v>176</v>
      </c>
      <c r="D1256" s="57" t="s">
        <v>174</v>
      </c>
      <c r="E1256" s="57" t="s">
        <v>175</v>
      </c>
      <c r="F1256" s="57">
        <f t="shared" si="23"/>
        <v>1</v>
      </c>
      <c r="G1256" s="57">
        <v>0</v>
      </c>
      <c r="H1256" s="57">
        <v>1.01</v>
      </c>
      <c r="I1256" s="57">
        <v>0.65710000000000002</v>
      </c>
      <c r="J1256" s="33">
        <f t="shared" si="21"/>
        <v>1.01</v>
      </c>
      <c r="K1256" s="33">
        <f t="shared" si="22"/>
        <v>0.65710000000000002</v>
      </c>
    </row>
    <row r="1257" spans="1:11" x14ac:dyDescent="0.2">
      <c r="A1257" s="70">
        <v>44704</v>
      </c>
      <c r="B1257" s="57">
        <v>2371</v>
      </c>
      <c r="C1257" s="57" t="s">
        <v>176</v>
      </c>
      <c r="D1257" s="57" t="s">
        <v>177</v>
      </c>
      <c r="E1257" s="57" t="s">
        <v>178</v>
      </c>
      <c r="F1257" s="57">
        <f t="shared" si="23"/>
        <v>0</v>
      </c>
      <c r="G1257" s="57">
        <v>0</v>
      </c>
      <c r="H1257" s="57">
        <v>1.26</v>
      </c>
      <c r="I1257" s="57">
        <v>0.71160000000000001</v>
      </c>
      <c r="J1257" s="33">
        <f t="shared" si="21"/>
        <v>1.26</v>
      </c>
      <c r="K1257" s="33">
        <f t="shared" si="22"/>
        <v>0.71160000000000001</v>
      </c>
    </row>
    <row r="1258" spans="1:11" x14ac:dyDescent="0.2">
      <c r="A1258" s="70">
        <v>44704</v>
      </c>
      <c r="B1258" s="57">
        <v>2370</v>
      </c>
      <c r="C1258" s="57" t="s">
        <v>176</v>
      </c>
      <c r="D1258" s="57" t="s">
        <v>177</v>
      </c>
      <c r="E1258" s="57" t="s">
        <v>175</v>
      </c>
      <c r="F1258" s="57">
        <f t="shared" si="23"/>
        <v>0</v>
      </c>
      <c r="G1258" s="57">
        <v>0</v>
      </c>
      <c r="H1258" s="57">
        <v>0.16</v>
      </c>
      <c r="I1258" s="57">
        <v>8.7999999999999995E-2</v>
      </c>
      <c r="J1258" s="33">
        <f t="shared" si="21"/>
        <v>0.16</v>
      </c>
      <c r="K1258" s="33">
        <f t="shared" si="22"/>
        <v>8.7999999999999995E-2</v>
      </c>
    </row>
    <row r="1259" spans="1:11" x14ac:dyDescent="0.2">
      <c r="A1259" s="70">
        <v>44704</v>
      </c>
      <c r="B1259" s="57">
        <v>2005</v>
      </c>
      <c r="C1259" s="57" t="s">
        <v>176</v>
      </c>
      <c r="D1259" s="57" t="s">
        <v>177</v>
      </c>
      <c r="E1259" s="57" t="s">
        <v>175</v>
      </c>
      <c r="F1259" s="57">
        <f t="shared" si="23"/>
        <v>0</v>
      </c>
      <c r="G1259" s="57">
        <v>0</v>
      </c>
      <c r="H1259" s="57">
        <v>0.19</v>
      </c>
      <c r="I1259" s="57">
        <v>0.11119999999999999</v>
      </c>
      <c r="J1259" s="33">
        <f t="shared" si="21"/>
        <v>0.19</v>
      </c>
      <c r="K1259" s="33">
        <f t="shared" si="22"/>
        <v>0.11119999999999999</v>
      </c>
    </row>
    <row r="1260" spans="1:11" x14ac:dyDescent="0.2">
      <c r="A1260" s="70">
        <v>44704</v>
      </c>
      <c r="B1260" s="57">
        <v>2372</v>
      </c>
      <c r="C1260" s="57" t="s">
        <v>176</v>
      </c>
      <c r="D1260" s="57" t="s">
        <v>174</v>
      </c>
      <c r="E1260" s="57" t="s">
        <v>175</v>
      </c>
      <c r="F1260" s="57">
        <f t="shared" si="23"/>
        <v>1</v>
      </c>
      <c r="G1260" s="57">
        <v>0</v>
      </c>
      <c r="H1260" s="57">
        <v>0.39</v>
      </c>
      <c r="I1260" s="57">
        <v>0.2447</v>
      </c>
      <c r="J1260" s="33">
        <f t="shared" si="21"/>
        <v>0.39</v>
      </c>
      <c r="K1260" s="33">
        <f t="shared" si="22"/>
        <v>0.2447</v>
      </c>
    </row>
    <row r="1261" spans="1:11" x14ac:dyDescent="0.2">
      <c r="A1261" s="70">
        <v>44704</v>
      </c>
      <c r="B1261" s="57">
        <v>2005</v>
      </c>
      <c r="C1261" s="57" t="s">
        <v>176</v>
      </c>
      <c r="D1261" s="57" t="s">
        <v>177</v>
      </c>
      <c r="E1261" s="57" t="s">
        <v>178</v>
      </c>
      <c r="F1261" s="57">
        <f t="shared" si="23"/>
        <v>0</v>
      </c>
      <c r="G1261" s="57">
        <v>0</v>
      </c>
      <c r="H1261" s="57">
        <v>2.0099999999999998</v>
      </c>
      <c r="I1261" s="57">
        <v>1.1489</v>
      </c>
      <c r="J1261" s="33">
        <f t="shared" si="21"/>
        <v>2.0099999999999998</v>
      </c>
      <c r="K1261" s="33">
        <f t="shared" si="22"/>
        <v>1.1489</v>
      </c>
    </row>
    <row r="1262" spans="1:11" x14ac:dyDescent="0.2">
      <c r="A1262" s="70">
        <v>44704</v>
      </c>
      <c r="B1262" s="57">
        <v>2024</v>
      </c>
      <c r="C1262" s="57" t="s">
        <v>176</v>
      </c>
      <c r="D1262" s="57" t="s">
        <v>177</v>
      </c>
      <c r="E1262" s="57" t="s">
        <v>178</v>
      </c>
      <c r="F1262" s="57">
        <f t="shared" si="23"/>
        <v>0</v>
      </c>
      <c r="G1262" s="57">
        <v>0</v>
      </c>
      <c r="H1262" s="57">
        <v>1.9</v>
      </c>
      <c r="I1262" s="57">
        <v>1.0722</v>
      </c>
      <c r="J1262" s="33">
        <f t="shared" si="21"/>
        <v>1.9</v>
      </c>
      <c r="K1262" s="33">
        <f t="shared" si="22"/>
        <v>1.0722</v>
      </c>
    </row>
    <row r="1263" spans="1:11" x14ac:dyDescent="0.2">
      <c r="A1263" s="70">
        <v>44704</v>
      </c>
      <c r="B1263" s="57">
        <v>2371</v>
      </c>
      <c r="C1263" s="57" t="s">
        <v>176</v>
      </c>
      <c r="D1263" s="57" t="s">
        <v>177</v>
      </c>
      <c r="E1263" s="57" t="s">
        <v>175</v>
      </c>
      <c r="F1263" s="57">
        <f t="shared" si="23"/>
        <v>0</v>
      </c>
      <c r="G1263" s="57">
        <v>0</v>
      </c>
      <c r="H1263" s="57">
        <v>0.12</v>
      </c>
      <c r="I1263" s="57">
        <v>7.1999999999999995E-2</v>
      </c>
      <c r="J1263" s="33">
        <f t="shared" si="21"/>
        <v>0.12</v>
      </c>
      <c r="K1263" s="33">
        <f t="shared" si="22"/>
        <v>7.1999999999999995E-2</v>
      </c>
    </row>
    <row r="1264" spans="1:11" x14ac:dyDescent="0.2">
      <c r="A1264" s="70">
        <v>44704</v>
      </c>
      <c r="B1264" s="57">
        <v>2024</v>
      </c>
      <c r="C1264" s="57" t="s">
        <v>176</v>
      </c>
      <c r="D1264" s="57" t="s">
        <v>174</v>
      </c>
      <c r="E1264" s="57" t="s">
        <v>175</v>
      </c>
      <c r="F1264" s="57">
        <f t="shared" si="23"/>
        <v>1</v>
      </c>
      <c r="G1264" s="57">
        <v>0</v>
      </c>
      <c r="H1264" s="57">
        <v>0.28999999999999998</v>
      </c>
      <c r="I1264" s="57">
        <v>0.185</v>
      </c>
      <c r="J1264" s="33">
        <f t="shared" si="21"/>
        <v>0.28999999999999998</v>
      </c>
      <c r="K1264" s="33">
        <f t="shared" si="22"/>
        <v>0.185</v>
      </c>
    </row>
    <row r="1265" spans="1:11" x14ac:dyDescent="0.2">
      <c r="A1265" s="70">
        <v>44704</v>
      </c>
      <c r="B1265" s="57">
        <v>2027</v>
      </c>
      <c r="C1265" s="57" t="s">
        <v>176</v>
      </c>
      <c r="D1265" s="57" t="s">
        <v>177</v>
      </c>
      <c r="E1265" s="57" t="s">
        <v>175</v>
      </c>
      <c r="F1265" s="57">
        <f t="shared" si="23"/>
        <v>0</v>
      </c>
      <c r="G1265" s="57">
        <v>0</v>
      </c>
      <c r="H1265" s="57">
        <v>0.16</v>
      </c>
      <c r="I1265" s="57">
        <v>9.98E-2</v>
      </c>
      <c r="J1265" s="33">
        <f t="shared" si="21"/>
        <v>0.16</v>
      </c>
      <c r="K1265" s="33">
        <f t="shared" si="22"/>
        <v>9.98E-2</v>
      </c>
    </row>
    <row r="1266" spans="1:11" x14ac:dyDescent="0.2">
      <c r="A1266" s="70">
        <v>44706</v>
      </c>
      <c r="B1266" s="57">
        <v>2020</v>
      </c>
      <c r="C1266" s="57" t="s">
        <v>173</v>
      </c>
      <c r="D1266" s="57" t="s">
        <v>177</v>
      </c>
      <c r="E1266" s="57" t="s">
        <v>178</v>
      </c>
      <c r="F1266" s="57">
        <f t="shared" si="23"/>
        <v>0</v>
      </c>
      <c r="G1266" s="57">
        <v>0</v>
      </c>
      <c r="H1266" s="57">
        <v>4.05</v>
      </c>
      <c r="I1266" s="57">
        <v>2.2429999999999999</v>
      </c>
      <c r="J1266" s="33">
        <f t="shared" si="21"/>
        <v>4.05</v>
      </c>
      <c r="K1266" s="33">
        <f t="shared" si="22"/>
        <v>2.2429999999999999</v>
      </c>
    </row>
    <row r="1267" spans="1:11" x14ac:dyDescent="0.2">
      <c r="A1267" s="70">
        <v>44706</v>
      </c>
      <c r="B1267" s="57">
        <v>2089</v>
      </c>
      <c r="C1267" s="57" t="s">
        <v>173</v>
      </c>
      <c r="D1267" s="57" t="s">
        <v>174</v>
      </c>
      <c r="E1267" s="57" t="s">
        <v>178</v>
      </c>
      <c r="F1267" s="57">
        <f t="shared" si="23"/>
        <v>1</v>
      </c>
      <c r="G1267" s="57">
        <v>0</v>
      </c>
      <c r="H1267" s="57">
        <v>2.39</v>
      </c>
      <c r="I1267" s="57">
        <v>1.4350000000000001</v>
      </c>
      <c r="J1267" s="33">
        <f t="shared" si="21"/>
        <v>2.39</v>
      </c>
      <c r="K1267" s="33">
        <f t="shared" si="22"/>
        <v>1.4350000000000001</v>
      </c>
    </row>
    <row r="1268" spans="1:11" x14ac:dyDescent="0.2">
      <c r="A1268" s="70">
        <v>44706</v>
      </c>
      <c r="B1268" s="57">
        <v>2030</v>
      </c>
      <c r="C1268" s="57" t="s">
        <v>173</v>
      </c>
      <c r="D1268" s="57" t="s">
        <v>174</v>
      </c>
      <c r="E1268" s="57" t="s">
        <v>178</v>
      </c>
      <c r="F1268" s="57">
        <f t="shared" si="23"/>
        <v>1</v>
      </c>
      <c r="G1268" s="57">
        <v>0</v>
      </c>
      <c r="H1268" s="57">
        <v>1.9</v>
      </c>
      <c r="I1268" s="57">
        <v>1.1679999999999999</v>
      </c>
      <c r="J1268" s="33">
        <f t="shared" si="21"/>
        <v>1.9</v>
      </c>
      <c r="K1268" s="33">
        <f t="shared" si="22"/>
        <v>1.1679999999999999</v>
      </c>
    </row>
    <row r="1269" spans="1:11" x14ac:dyDescent="0.2">
      <c r="A1269" s="70">
        <v>44706</v>
      </c>
      <c r="B1269" s="57">
        <v>2008</v>
      </c>
      <c r="C1269" s="57" t="s">
        <v>173</v>
      </c>
      <c r="D1269" s="57" t="s">
        <v>177</v>
      </c>
      <c r="E1269" s="57" t="s">
        <v>178</v>
      </c>
      <c r="F1269" s="57">
        <f t="shared" si="23"/>
        <v>0</v>
      </c>
      <c r="G1269" s="57">
        <v>0</v>
      </c>
      <c r="H1269" s="57">
        <v>2.62</v>
      </c>
      <c r="I1269" s="57">
        <v>1.4542999999999999</v>
      </c>
      <c r="J1269" s="33">
        <f t="shared" si="21"/>
        <v>2.62</v>
      </c>
      <c r="K1269" s="33">
        <f t="shared" si="22"/>
        <v>1.4542999999999999</v>
      </c>
    </row>
    <row r="1270" spans="1:11" x14ac:dyDescent="0.2">
      <c r="A1270" s="70">
        <v>44706</v>
      </c>
      <c r="B1270" s="57">
        <v>2024</v>
      </c>
      <c r="C1270" s="57" t="s">
        <v>173</v>
      </c>
      <c r="D1270" s="57" t="s">
        <v>174</v>
      </c>
      <c r="E1270" s="57" t="s">
        <v>175</v>
      </c>
      <c r="F1270" s="57">
        <f t="shared" si="23"/>
        <v>1</v>
      </c>
      <c r="G1270" s="57">
        <v>0</v>
      </c>
      <c r="H1270" s="57">
        <v>0.54</v>
      </c>
      <c r="I1270" s="57">
        <v>0.32500000000000001</v>
      </c>
      <c r="J1270" s="33">
        <f t="shared" si="21"/>
        <v>0.54</v>
      </c>
      <c r="K1270" s="33">
        <f t="shared" si="22"/>
        <v>0.32500000000000001</v>
      </c>
    </row>
    <row r="1271" spans="1:11" x14ac:dyDescent="0.2">
      <c r="A1271" s="70">
        <v>44706</v>
      </c>
      <c r="B1271" s="57">
        <v>2089</v>
      </c>
      <c r="C1271" s="57" t="s">
        <v>173</v>
      </c>
      <c r="D1271" s="57" t="s">
        <v>177</v>
      </c>
      <c r="E1271" s="57" t="s">
        <v>178</v>
      </c>
      <c r="F1271" s="57">
        <f t="shared" si="23"/>
        <v>0</v>
      </c>
      <c r="G1271" s="57">
        <v>0</v>
      </c>
      <c r="H1271" s="57">
        <v>2.31</v>
      </c>
      <c r="I1271" s="57">
        <v>1.294</v>
      </c>
      <c r="J1271" s="33">
        <f t="shared" si="21"/>
        <v>2.31</v>
      </c>
      <c r="K1271" s="33">
        <f t="shared" si="22"/>
        <v>1.294</v>
      </c>
    </row>
    <row r="1272" spans="1:11" x14ac:dyDescent="0.2">
      <c r="A1272" s="70">
        <v>44706</v>
      </c>
      <c r="B1272" s="57">
        <v>2026</v>
      </c>
      <c r="C1272" s="57" t="s">
        <v>176</v>
      </c>
      <c r="D1272" s="57" t="s">
        <v>177</v>
      </c>
      <c r="E1272" s="57" t="s">
        <v>175</v>
      </c>
      <c r="F1272" s="57">
        <f t="shared" si="23"/>
        <v>0</v>
      </c>
      <c r="G1272" s="57">
        <v>0</v>
      </c>
      <c r="H1272" s="57">
        <v>0.1724</v>
      </c>
      <c r="I1272" s="57">
        <v>0.1075</v>
      </c>
      <c r="J1272" s="33">
        <f t="shared" si="21"/>
        <v>0.1724</v>
      </c>
      <c r="K1272" s="33">
        <f t="shared" si="22"/>
        <v>0.1075</v>
      </c>
    </row>
    <row r="1273" spans="1:11" x14ac:dyDescent="0.2">
      <c r="A1273" s="70">
        <v>44706</v>
      </c>
      <c r="B1273" s="57">
        <v>2026</v>
      </c>
      <c r="C1273" s="57" t="s">
        <v>176</v>
      </c>
      <c r="D1273" s="57" t="s">
        <v>177</v>
      </c>
      <c r="E1273" s="57" t="s">
        <v>178</v>
      </c>
      <c r="F1273" s="57">
        <f t="shared" si="23"/>
        <v>0</v>
      </c>
      <c r="G1273" s="57">
        <v>0</v>
      </c>
      <c r="H1273" s="57">
        <v>1.3371</v>
      </c>
      <c r="I1273" s="57">
        <v>0.7742</v>
      </c>
      <c r="J1273" s="33">
        <f t="shared" si="21"/>
        <v>1.3371</v>
      </c>
      <c r="K1273" s="33">
        <f t="shared" si="22"/>
        <v>0.7742</v>
      </c>
    </row>
    <row r="1274" spans="1:11" x14ac:dyDescent="0.2">
      <c r="A1274" s="70">
        <v>44706</v>
      </c>
      <c r="B1274" s="57">
        <v>2026</v>
      </c>
      <c r="C1274" s="57" t="s">
        <v>176</v>
      </c>
      <c r="D1274" s="57" t="s">
        <v>174</v>
      </c>
      <c r="E1274" s="57" t="s">
        <v>175</v>
      </c>
      <c r="F1274" s="57">
        <f t="shared" si="23"/>
        <v>1</v>
      </c>
      <c r="G1274" s="57">
        <v>0</v>
      </c>
      <c r="H1274" s="57">
        <v>0.22539999999999999</v>
      </c>
      <c r="I1274" s="57">
        <v>0.1416</v>
      </c>
      <c r="J1274" s="33">
        <f t="shared" si="21"/>
        <v>0.22539999999999999</v>
      </c>
      <c r="K1274" s="33">
        <f t="shared" si="22"/>
        <v>0.1416</v>
      </c>
    </row>
    <row r="1275" spans="1:11" x14ac:dyDescent="0.2">
      <c r="A1275" s="70">
        <v>44706</v>
      </c>
      <c r="B1275" s="57">
        <v>2023</v>
      </c>
      <c r="C1275" s="57" t="s">
        <v>176</v>
      </c>
      <c r="D1275" s="57" t="s">
        <v>177</v>
      </c>
      <c r="E1275" s="57" t="s">
        <v>178</v>
      </c>
      <c r="F1275" s="57">
        <f t="shared" si="23"/>
        <v>0</v>
      </c>
      <c r="G1275" s="57">
        <v>0</v>
      </c>
      <c r="H1275" s="57">
        <v>2.6665000000000001</v>
      </c>
      <c r="I1275" s="57">
        <v>1.5799000000000001</v>
      </c>
      <c r="J1275" s="33">
        <f t="shared" si="21"/>
        <v>2.6665000000000001</v>
      </c>
      <c r="K1275" s="33">
        <f t="shared" si="22"/>
        <v>1.5799000000000001</v>
      </c>
    </row>
    <row r="1276" spans="1:11" x14ac:dyDescent="0.2">
      <c r="A1276" s="70">
        <v>44706</v>
      </c>
      <c r="B1276" s="57">
        <v>2023</v>
      </c>
      <c r="C1276" s="57" t="s">
        <v>176</v>
      </c>
      <c r="D1276" s="57" t="s">
        <v>177</v>
      </c>
      <c r="E1276" s="57" t="s">
        <v>175</v>
      </c>
      <c r="F1276" s="57">
        <f t="shared" si="23"/>
        <v>0</v>
      </c>
      <c r="G1276" s="57">
        <v>0</v>
      </c>
      <c r="H1276" s="57">
        <v>1.1316999999999999</v>
      </c>
      <c r="I1276" s="57">
        <v>7.6200000000000004E-2</v>
      </c>
      <c r="J1276" s="33">
        <f t="shared" si="21"/>
        <v>1.1316999999999999</v>
      </c>
      <c r="K1276" s="33">
        <f t="shared" si="22"/>
        <v>7.6200000000000004E-2</v>
      </c>
    </row>
    <row r="1277" spans="1:11" x14ac:dyDescent="0.2">
      <c r="A1277" s="70">
        <v>44706</v>
      </c>
      <c r="B1277" s="57">
        <v>2023</v>
      </c>
      <c r="C1277" s="57" t="s">
        <v>176</v>
      </c>
      <c r="D1277" s="57" t="s">
        <v>174</v>
      </c>
      <c r="E1277" s="57" t="s">
        <v>175</v>
      </c>
      <c r="F1277" s="57">
        <f t="shared" si="23"/>
        <v>1</v>
      </c>
      <c r="G1277" s="57">
        <v>0</v>
      </c>
      <c r="H1277" s="57">
        <v>6.7799999999999999E-2</v>
      </c>
      <c r="I1277" s="57">
        <v>4.2000000000000003E-2</v>
      </c>
      <c r="J1277" s="33">
        <f t="shared" ref="J1277:J1512" si="24">H1277-G1277</f>
        <v>6.7799999999999999E-2</v>
      </c>
      <c r="K1277" s="33">
        <f t="shared" ref="K1277:K1531" si="25">I1277-G1277</f>
        <v>4.2000000000000003E-2</v>
      </c>
    </row>
    <row r="1278" spans="1:11" x14ac:dyDescent="0.2">
      <c r="A1278" s="70">
        <v>44704</v>
      </c>
      <c r="B1278" s="57">
        <v>2022</v>
      </c>
      <c r="C1278" s="57" t="s">
        <v>176</v>
      </c>
      <c r="D1278" s="57" t="s">
        <v>177</v>
      </c>
      <c r="E1278" s="57" t="s">
        <v>178</v>
      </c>
      <c r="F1278" s="57">
        <f t="shared" si="23"/>
        <v>0</v>
      </c>
      <c r="G1278" s="57">
        <v>0</v>
      </c>
      <c r="H1278" s="57">
        <v>0.1847</v>
      </c>
      <c r="I1278" s="57">
        <v>0.107</v>
      </c>
      <c r="J1278" s="33">
        <f t="shared" si="24"/>
        <v>0.1847</v>
      </c>
      <c r="K1278" s="33">
        <f t="shared" si="25"/>
        <v>0.107</v>
      </c>
    </row>
    <row r="1279" spans="1:11" x14ac:dyDescent="0.2">
      <c r="A1279" s="70">
        <v>44704</v>
      </c>
      <c r="B1279" s="57">
        <v>2014</v>
      </c>
      <c r="C1279" s="57" t="s">
        <v>176</v>
      </c>
      <c r="D1279" s="57" t="s">
        <v>174</v>
      </c>
      <c r="E1279" s="57" t="s">
        <v>175</v>
      </c>
      <c r="F1279" s="57">
        <f t="shared" si="23"/>
        <v>1</v>
      </c>
      <c r="G1279" s="57">
        <v>0</v>
      </c>
      <c r="H1279" s="57">
        <v>0.51280000000000003</v>
      </c>
      <c r="I1279" s="57">
        <v>0.32200000000000001</v>
      </c>
      <c r="J1279" s="33">
        <f t="shared" si="24"/>
        <v>0.51280000000000003</v>
      </c>
      <c r="K1279" s="33">
        <f t="shared" si="25"/>
        <v>0.32200000000000001</v>
      </c>
    </row>
    <row r="1280" spans="1:11" x14ac:dyDescent="0.2">
      <c r="A1280" s="70">
        <v>44704</v>
      </c>
      <c r="B1280" s="57">
        <v>2360</v>
      </c>
      <c r="C1280" s="57" t="s">
        <v>176</v>
      </c>
      <c r="D1280" s="57" t="s">
        <v>177</v>
      </c>
      <c r="E1280" s="57" t="s">
        <v>178</v>
      </c>
      <c r="F1280" s="57">
        <f t="shared" si="23"/>
        <v>0</v>
      </c>
      <c r="G1280" s="57">
        <v>0</v>
      </c>
      <c r="H1280" s="57">
        <v>2.2686999999999999</v>
      </c>
      <c r="I1280" s="57">
        <v>1.3260000000000001</v>
      </c>
      <c r="J1280" s="33">
        <f t="shared" si="24"/>
        <v>2.2686999999999999</v>
      </c>
      <c r="K1280" s="33">
        <f t="shared" si="25"/>
        <v>1.3260000000000001</v>
      </c>
    </row>
    <row r="1281" spans="1:11" x14ac:dyDescent="0.2">
      <c r="A1281" s="70">
        <v>44704</v>
      </c>
      <c r="B1281" s="57">
        <v>2009</v>
      </c>
      <c r="C1281" s="57" t="s">
        <v>176</v>
      </c>
      <c r="D1281" s="57" t="s">
        <v>177</v>
      </c>
      <c r="E1281" s="57" t="s">
        <v>175</v>
      </c>
      <c r="F1281" s="57">
        <f t="shared" si="23"/>
        <v>0</v>
      </c>
      <c r="G1281" s="57">
        <v>0</v>
      </c>
      <c r="H1281" s="57">
        <v>0.2195</v>
      </c>
      <c r="I1281" s="57">
        <v>0.127</v>
      </c>
      <c r="J1281" s="33">
        <f t="shared" si="24"/>
        <v>0.2195</v>
      </c>
      <c r="K1281" s="33">
        <f t="shared" si="25"/>
        <v>0.127</v>
      </c>
    </row>
    <row r="1282" spans="1:11" x14ac:dyDescent="0.2">
      <c r="A1282" s="70">
        <v>44704</v>
      </c>
      <c r="B1282" s="57">
        <v>2022</v>
      </c>
      <c r="C1282" s="57" t="s">
        <v>176</v>
      </c>
      <c r="D1282" s="57" t="s">
        <v>174</v>
      </c>
      <c r="E1282" s="57" t="s">
        <v>178</v>
      </c>
      <c r="F1282" s="57">
        <f t="shared" si="23"/>
        <v>1</v>
      </c>
      <c r="G1282" s="57">
        <v>0</v>
      </c>
      <c r="H1282" s="57">
        <v>4.2031999999999998</v>
      </c>
      <c r="I1282" s="57">
        <v>2.5739999999999998</v>
      </c>
      <c r="J1282" s="33">
        <f t="shared" si="24"/>
        <v>4.2031999999999998</v>
      </c>
      <c r="K1282" s="33">
        <f t="shared" si="25"/>
        <v>2.5739999999999998</v>
      </c>
    </row>
    <row r="1283" spans="1:11" x14ac:dyDescent="0.2">
      <c r="A1283" s="70">
        <v>44704</v>
      </c>
      <c r="B1283" s="57">
        <v>2354</v>
      </c>
      <c r="C1283" s="57" t="s">
        <v>176</v>
      </c>
      <c r="D1283" s="57" t="s">
        <v>174</v>
      </c>
      <c r="E1283" s="57" t="s">
        <v>175</v>
      </c>
      <c r="F1283" s="57">
        <f t="shared" si="23"/>
        <v>1</v>
      </c>
      <c r="G1283" s="57">
        <v>0</v>
      </c>
      <c r="H1283" s="57">
        <v>0.26879999999999998</v>
      </c>
      <c r="I1283" s="57">
        <v>0.16800000000000001</v>
      </c>
      <c r="J1283" s="33">
        <f t="shared" si="24"/>
        <v>0.26879999999999998</v>
      </c>
      <c r="K1283" s="33">
        <f t="shared" si="25"/>
        <v>0.16800000000000001</v>
      </c>
    </row>
    <row r="1284" spans="1:11" x14ac:dyDescent="0.2">
      <c r="A1284" s="70">
        <v>44704</v>
      </c>
      <c r="B1284" s="57">
        <v>2382</v>
      </c>
      <c r="C1284" s="57" t="s">
        <v>176</v>
      </c>
      <c r="D1284" s="57" t="s">
        <v>174</v>
      </c>
      <c r="E1284" s="57" t="s">
        <v>175</v>
      </c>
      <c r="F1284" s="57">
        <f t="shared" si="23"/>
        <v>1</v>
      </c>
      <c r="G1284" s="57">
        <v>0</v>
      </c>
      <c r="H1284" s="57">
        <v>0.54100000000000004</v>
      </c>
      <c r="I1284" s="57">
        <v>0.33400000000000002</v>
      </c>
      <c r="J1284" s="33">
        <f t="shared" si="24"/>
        <v>0.54100000000000004</v>
      </c>
      <c r="K1284" s="33">
        <f t="shared" si="25"/>
        <v>0.33400000000000002</v>
      </c>
    </row>
    <row r="1285" spans="1:11" x14ac:dyDescent="0.2">
      <c r="A1285" s="70">
        <v>44704</v>
      </c>
      <c r="B1285" s="57">
        <v>2377</v>
      </c>
      <c r="C1285" s="57" t="s">
        <v>176</v>
      </c>
      <c r="D1285" s="57" t="s">
        <v>174</v>
      </c>
      <c r="E1285" s="57" t="s">
        <v>178</v>
      </c>
      <c r="F1285" s="57">
        <f t="shared" si="23"/>
        <v>1</v>
      </c>
      <c r="G1285" s="57">
        <v>0</v>
      </c>
      <c r="H1285" s="57">
        <v>2.0329000000000002</v>
      </c>
      <c r="I1285" s="57">
        <v>1.3680000000000001</v>
      </c>
      <c r="J1285" s="33">
        <f t="shared" si="24"/>
        <v>2.0329000000000002</v>
      </c>
      <c r="K1285" s="33">
        <f t="shared" si="25"/>
        <v>1.3680000000000001</v>
      </c>
    </row>
    <row r="1286" spans="1:11" x14ac:dyDescent="0.2">
      <c r="A1286" s="70">
        <v>44704</v>
      </c>
      <c r="B1286" s="57">
        <v>2345</v>
      </c>
      <c r="C1286" s="57" t="s">
        <v>176</v>
      </c>
      <c r="D1286" s="57" t="s">
        <v>174</v>
      </c>
      <c r="E1286" s="57" t="s">
        <v>175</v>
      </c>
      <c r="F1286" s="57">
        <f t="shared" si="23"/>
        <v>1</v>
      </c>
      <c r="G1286" s="57">
        <v>0</v>
      </c>
      <c r="H1286" s="57">
        <v>0.66310000000000002</v>
      </c>
      <c r="I1286" s="57">
        <v>0.39400000000000002</v>
      </c>
      <c r="J1286" s="33">
        <f t="shared" si="24"/>
        <v>0.66310000000000002</v>
      </c>
      <c r="K1286" s="33">
        <f t="shared" si="25"/>
        <v>0.39400000000000002</v>
      </c>
    </row>
    <row r="1287" spans="1:11" x14ac:dyDescent="0.2">
      <c r="A1287" s="70">
        <v>44704</v>
      </c>
      <c r="B1287" s="57">
        <v>2377</v>
      </c>
      <c r="C1287" s="57" t="s">
        <v>176</v>
      </c>
      <c r="D1287" s="57" t="s">
        <v>177</v>
      </c>
      <c r="E1287" s="57" t="s">
        <v>175</v>
      </c>
      <c r="F1287" s="57">
        <f t="shared" si="23"/>
        <v>0</v>
      </c>
      <c r="G1287" s="57">
        <v>0</v>
      </c>
      <c r="H1287" s="57">
        <v>3.6400000000000002E-2</v>
      </c>
      <c r="I1287" s="57">
        <v>1.9E-2</v>
      </c>
      <c r="J1287" s="33">
        <f t="shared" si="24"/>
        <v>3.6400000000000002E-2</v>
      </c>
      <c r="K1287" s="33">
        <f t="shared" si="25"/>
        <v>1.9E-2</v>
      </c>
    </row>
    <row r="1288" spans="1:11" x14ac:dyDescent="0.2">
      <c r="A1288" s="70">
        <v>44704</v>
      </c>
      <c r="B1288" s="57">
        <v>2382</v>
      </c>
      <c r="C1288" s="57" t="s">
        <v>176</v>
      </c>
      <c r="D1288" s="57" t="s">
        <v>177</v>
      </c>
      <c r="E1288" s="57" t="s">
        <v>178</v>
      </c>
      <c r="F1288" s="57">
        <f t="shared" si="23"/>
        <v>0</v>
      </c>
      <c r="G1288" s="57">
        <v>0</v>
      </c>
      <c r="H1288" s="57">
        <v>4.9168000000000003</v>
      </c>
      <c r="I1288" s="57">
        <v>2.9740000000000002</v>
      </c>
      <c r="J1288" s="33">
        <f t="shared" si="24"/>
        <v>4.9168000000000003</v>
      </c>
      <c r="K1288" s="33">
        <f t="shared" si="25"/>
        <v>2.9740000000000002</v>
      </c>
    </row>
    <row r="1289" spans="1:11" x14ac:dyDescent="0.2">
      <c r="A1289" s="70">
        <v>44704</v>
      </c>
      <c r="B1289" s="57">
        <v>2346</v>
      </c>
      <c r="C1289" s="57" t="s">
        <v>176</v>
      </c>
      <c r="D1289" s="57" t="s">
        <v>177</v>
      </c>
      <c r="E1289" s="57" t="s">
        <v>178</v>
      </c>
      <c r="F1289" s="57">
        <f t="shared" si="23"/>
        <v>0</v>
      </c>
      <c r="G1289" s="57">
        <v>0</v>
      </c>
      <c r="H1289" s="57">
        <v>3.1162999999999998</v>
      </c>
      <c r="I1289" s="57">
        <v>1.9019999999999999</v>
      </c>
      <c r="J1289" s="33">
        <f t="shared" si="24"/>
        <v>3.1162999999999998</v>
      </c>
      <c r="K1289" s="33">
        <f t="shared" si="25"/>
        <v>1.9019999999999999</v>
      </c>
    </row>
    <row r="1290" spans="1:11" x14ac:dyDescent="0.2">
      <c r="A1290" s="70">
        <v>44704</v>
      </c>
      <c r="B1290" s="57">
        <v>2379</v>
      </c>
      <c r="C1290" s="57" t="s">
        <v>176</v>
      </c>
      <c r="D1290" s="57" t="s">
        <v>177</v>
      </c>
      <c r="E1290" s="57" t="s">
        <v>178</v>
      </c>
      <c r="F1290" s="57">
        <f t="shared" si="23"/>
        <v>0</v>
      </c>
      <c r="G1290" s="57">
        <v>0</v>
      </c>
      <c r="H1290" s="57">
        <v>1.2269000000000001</v>
      </c>
      <c r="I1290" s="57">
        <v>0.72299999999999998</v>
      </c>
      <c r="J1290" s="33">
        <f t="shared" si="24"/>
        <v>1.2269000000000001</v>
      </c>
      <c r="K1290" s="33">
        <f t="shared" si="25"/>
        <v>0.72299999999999998</v>
      </c>
    </row>
    <row r="1291" spans="1:11" x14ac:dyDescent="0.2">
      <c r="A1291" s="70">
        <v>44704</v>
      </c>
      <c r="B1291" s="57">
        <v>2377</v>
      </c>
      <c r="C1291" s="57" t="s">
        <v>176</v>
      </c>
      <c r="D1291" s="57" t="s">
        <v>174</v>
      </c>
      <c r="E1291" s="57" t="s">
        <v>175</v>
      </c>
      <c r="F1291" s="57">
        <f t="shared" si="23"/>
        <v>1</v>
      </c>
      <c r="G1291" s="57">
        <v>0</v>
      </c>
      <c r="H1291" s="57">
        <v>0.48280000000000001</v>
      </c>
      <c r="I1291" s="57">
        <v>0.29799999999999999</v>
      </c>
      <c r="J1291" s="33">
        <f t="shared" si="24"/>
        <v>0.48280000000000001</v>
      </c>
      <c r="K1291" s="33">
        <f t="shared" si="25"/>
        <v>0.29799999999999999</v>
      </c>
    </row>
    <row r="1292" spans="1:11" x14ac:dyDescent="0.2">
      <c r="A1292" s="70">
        <v>44704</v>
      </c>
      <c r="B1292" s="57">
        <v>2377</v>
      </c>
      <c r="C1292" s="57" t="s">
        <v>176</v>
      </c>
      <c r="D1292" s="57" t="s">
        <v>174</v>
      </c>
      <c r="E1292" s="57" t="s">
        <v>178</v>
      </c>
      <c r="F1292" s="57">
        <f t="shared" si="23"/>
        <v>1</v>
      </c>
      <c r="G1292" s="57">
        <v>0</v>
      </c>
      <c r="H1292" s="57">
        <v>0.88549999999999995</v>
      </c>
      <c r="I1292" s="57">
        <v>0.56799999999999995</v>
      </c>
      <c r="J1292" s="33">
        <f t="shared" si="24"/>
        <v>0.88549999999999995</v>
      </c>
      <c r="K1292" s="33">
        <f t="shared" si="25"/>
        <v>0.56799999999999995</v>
      </c>
    </row>
    <row r="1293" spans="1:11" x14ac:dyDescent="0.2">
      <c r="A1293" s="70">
        <v>44704</v>
      </c>
      <c r="B1293" s="57">
        <v>2379</v>
      </c>
      <c r="C1293" s="57" t="s">
        <v>176</v>
      </c>
      <c r="D1293" s="57" t="s">
        <v>177</v>
      </c>
      <c r="E1293" s="57" t="s">
        <v>175</v>
      </c>
      <c r="F1293" s="57">
        <f t="shared" si="23"/>
        <v>0</v>
      </c>
      <c r="G1293" s="57">
        <v>0</v>
      </c>
      <c r="H1293" s="57">
        <v>8.3500000000000005E-2</v>
      </c>
      <c r="I1293" s="57">
        <v>5.2999999999999999E-2</v>
      </c>
      <c r="J1293" s="33">
        <f t="shared" si="24"/>
        <v>8.3500000000000005E-2</v>
      </c>
      <c r="K1293" s="33">
        <f t="shared" si="25"/>
        <v>5.2999999999999999E-2</v>
      </c>
    </row>
    <row r="1294" spans="1:11" x14ac:dyDescent="0.2">
      <c r="A1294" s="70">
        <v>44704</v>
      </c>
      <c r="B1294" s="57">
        <v>2010</v>
      </c>
      <c r="C1294" s="57" t="s">
        <v>176</v>
      </c>
      <c r="D1294" s="57" t="s">
        <v>177</v>
      </c>
      <c r="E1294" s="57" t="s">
        <v>175</v>
      </c>
      <c r="F1294" s="57">
        <f t="shared" si="23"/>
        <v>0</v>
      </c>
      <c r="G1294" s="57">
        <v>0</v>
      </c>
      <c r="H1294" s="57">
        <v>0.44280000000000003</v>
      </c>
      <c r="I1294" s="57">
        <v>0.25</v>
      </c>
      <c r="J1294" s="33">
        <f t="shared" si="24"/>
        <v>0.44280000000000003</v>
      </c>
      <c r="K1294" s="33">
        <f t="shared" si="25"/>
        <v>0.25</v>
      </c>
    </row>
    <row r="1295" spans="1:11" x14ac:dyDescent="0.2">
      <c r="A1295" s="70">
        <v>44704</v>
      </c>
      <c r="B1295" s="57">
        <v>2375</v>
      </c>
      <c r="C1295" s="57" t="s">
        <v>176</v>
      </c>
      <c r="D1295" s="57" t="s">
        <v>177</v>
      </c>
      <c r="E1295" s="57" t="s">
        <v>175</v>
      </c>
      <c r="F1295" s="57">
        <f t="shared" si="23"/>
        <v>0</v>
      </c>
      <c r="G1295" s="57">
        <v>0</v>
      </c>
      <c r="H1295" s="57">
        <v>0.7954</v>
      </c>
      <c r="I1295" s="57">
        <v>0.45400000000000001</v>
      </c>
      <c r="J1295" s="33">
        <f t="shared" si="24"/>
        <v>0.7954</v>
      </c>
      <c r="K1295" s="33">
        <f t="shared" si="25"/>
        <v>0.45400000000000001</v>
      </c>
    </row>
    <row r="1296" spans="1:11" x14ac:dyDescent="0.2">
      <c r="A1296" s="70">
        <v>44704</v>
      </c>
      <c r="B1296" s="57">
        <v>2379</v>
      </c>
      <c r="C1296" s="57" t="s">
        <v>176</v>
      </c>
      <c r="D1296" s="57" t="s">
        <v>174</v>
      </c>
      <c r="E1296" s="57" t="s">
        <v>175</v>
      </c>
      <c r="F1296" s="57">
        <f t="shared" si="23"/>
        <v>1</v>
      </c>
      <c r="G1296" s="57">
        <v>0</v>
      </c>
      <c r="H1296" s="57">
        <v>1.123</v>
      </c>
      <c r="I1296" s="57">
        <v>0.70799999999999996</v>
      </c>
      <c r="J1296" s="33">
        <f t="shared" si="24"/>
        <v>1.123</v>
      </c>
      <c r="K1296" s="33">
        <f t="shared" si="25"/>
        <v>0.70799999999999996</v>
      </c>
    </row>
    <row r="1297" spans="1:11" x14ac:dyDescent="0.2">
      <c r="A1297" s="70">
        <v>44704</v>
      </c>
      <c r="B1297" s="57">
        <v>2381</v>
      </c>
      <c r="C1297" s="57" t="s">
        <v>176</v>
      </c>
      <c r="D1297" s="57" t="s">
        <v>177</v>
      </c>
      <c r="E1297" s="57" t="s">
        <v>178</v>
      </c>
      <c r="F1297" s="57">
        <f>IF(D1266="old",1,0)</f>
        <v>0</v>
      </c>
      <c r="G1297" s="57">
        <v>0</v>
      </c>
      <c r="H1297" s="57">
        <v>1.7679</v>
      </c>
      <c r="I1297" s="57">
        <v>1.01</v>
      </c>
      <c r="J1297" s="33">
        <f t="shared" si="24"/>
        <v>1.7679</v>
      </c>
      <c r="K1297" s="33">
        <f t="shared" si="25"/>
        <v>1.01</v>
      </c>
    </row>
    <row r="1298" spans="1:11" x14ac:dyDescent="0.2">
      <c r="A1298" s="70">
        <v>44704</v>
      </c>
      <c r="B1298" s="57">
        <v>2014</v>
      </c>
      <c r="C1298" s="57" t="s">
        <v>176</v>
      </c>
      <c r="D1298" s="57" t="s">
        <v>177</v>
      </c>
      <c r="E1298" s="57" t="s">
        <v>178</v>
      </c>
      <c r="F1298" s="57">
        <f t="shared" ref="F1298:F1526" si="26">IF(D1298="old",1,0)</f>
        <v>0</v>
      </c>
      <c r="G1298" s="57">
        <v>0</v>
      </c>
      <c r="H1298" s="57">
        <v>3.7160000000000002</v>
      </c>
      <c r="I1298" s="57">
        <v>2.1739999999999999</v>
      </c>
      <c r="J1298" s="33">
        <f t="shared" si="24"/>
        <v>3.7160000000000002</v>
      </c>
      <c r="K1298" s="33">
        <f t="shared" si="25"/>
        <v>2.1739999999999999</v>
      </c>
    </row>
    <row r="1299" spans="1:11" x14ac:dyDescent="0.2">
      <c r="A1299" s="70">
        <v>44704</v>
      </c>
      <c r="B1299" s="57">
        <v>2378</v>
      </c>
      <c r="C1299" s="57" t="s">
        <v>176</v>
      </c>
      <c r="D1299" s="57" t="s">
        <v>174</v>
      </c>
      <c r="E1299" s="57" t="s">
        <v>175</v>
      </c>
      <c r="F1299" s="57">
        <f t="shared" si="26"/>
        <v>1</v>
      </c>
      <c r="G1299" s="57">
        <v>0</v>
      </c>
      <c r="H1299" s="57">
        <v>0.2586</v>
      </c>
      <c r="I1299" s="57">
        <v>0.156</v>
      </c>
      <c r="J1299" s="33">
        <f t="shared" si="24"/>
        <v>0.2586</v>
      </c>
      <c r="K1299" s="33">
        <f t="shared" si="25"/>
        <v>0.156</v>
      </c>
    </row>
    <row r="1300" spans="1:11" x14ac:dyDescent="0.2">
      <c r="A1300" s="70">
        <v>44704</v>
      </c>
      <c r="B1300" s="57">
        <v>2375</v>
      </c>
      <c r="C1300" s="57" t="s">
        <v>176</v>
      </c>
      <c r="D1300" s="57" t="s">
        <v>174</v>
      </c>
      <c r="E1300" s="57" t="s">
        <v>175</v>
      </c>
      <c r="F1300" s="57">
        <f t="shared" si="26"/>
        <v>1</v>
      </c>
      <c r="G1300" s="57">
        <v>0</v>
      </c>
      <c r="H1300" s="57">
        <v>0.82240000000000002</v>
      </c>
      <c r="I1300" s="57">
        <v>0.497</v>
      </c>
      <c r="J1300" s="33">
        <f t="shared" si="24"/>
        <v>0.82240000000000002</v>
      </c>
      <c r="K1300" s="33">
        <f t="shared" si="25"/>
        <v>0.497</v>
      </c>
    </row>
    <row r="1301" spans="1:11" x14ac:dyDescent="0.2">
      <c r="A1301" s="70">
        <v>44704</v>
      </c>
      <c r="B1301" s="57">
        <v>2382</v>
      </c>
      <c r="C1301" s="57" t="s">
        <v>176</v>
      </c>
      <c r="D1301" s="57" t="s">
        <v>177</v>
      </c>
      <c r="E1301" s="57" t="s">
        <v>175</v>
      </c>
      <c r="F1301" s="57">
        <f t="shared" si="26"/>
        <v>0</v>
      </c>
      <c r="G1301" s="57">
        <v>0</v>
      </c>
      <c r="H1301" s="57">
        <v>0.53149999999999997</v>
      </c>
      <c r="I1301" s="57">
        <v>0.32200000000000001</v>
      </c>
      <c r="J1301" s="33">
        <f t="shared" si="24"/>
        <v>0.53149999999999997</v>
      </c>
      <c r="K1301" s="33">
        <f t="shared" si="25"/>
        <v>0.32200000000000001</v>
      </c>
    </row>
    <row r="1302" spans="1:11" x14ac:dyDescent="0.2">
      <c r="A1302" s="70">
        <v>44704</v>
      </c>
      <c r="B1302" s="57">
        <v>2367</v>
      </c>
      <c r="C1302" s="57" t="s">
        <v>176</v>
      </c>
      <c r="D1302" s="57" t="s">
        <v>174</v>
      </c>
      <c r="E1302" s="57" t="s">
        <v>175</v>
      </c>
      <c r="F1302" s="57">
        <f t="shared" si="26"/>
        <v>1</v>
      </c>
      <c r="G1302" s="57">
        <v>0</v>
      </c>
      <c r="H1302" s="57">
        <v>0.3382</v>
      </c>
      <c r="I1302" s="57">
        <v>0.21299999999999999</v>
      </c>
      <c r="J1302" s="33">
        <f t="shared" si="24"/>
        <v>0.3382</v>
      </c>
      <c r="K1302" s="33">
        <f t="shared" si="25"/>
        <v>0.21299999999999999</v>
      </c>
    </row>
    <row r="1303" spans="1:11" x14ac:dyDescent="0.2">
      <c r="A1303" s="70">
        <v>44704</v>
      </c>
      <c r="B1303" s="57">
        <v>2381</v>
      </c>
      <c r="C1303" s="57" t="s">
        <v>176</v>
      </c>
      <c r="D1303" s="57" t="s">
        <v>174</v>
      </c>
      <c r="E1303" s="57" t="s">
        <v>175</v>
      </c>
      <c r="F1303" s="57">
        <f t="shared" si="26"/>
        <v>1</v>
      </c>
      <c r="G1303" s="57">
        <v>0</v>
      </c>
      <c r="H1303" s="57">
        <v>0.90700000000000003</v>
      </c>
      <c r="I1303" s="57">
        <v>0.54500000000000004</v>
      </c>
      <c r="J1303" s="33">
        <f t="shared" si="24"/>
        <v>0.90700000000000003</v>
      </c>
      <c r="K1303" s="33">
        <f t="shared" si="25"/>
        <v>0.54500000000000004</v>
      </c>
    </row>
    <row r="1304" spans="1:11" x14ac:dyDescent="0.2">
      <c r="A1304" s="70">
        <v>44704</v>
      </c>
      <c r="B1304" s="57">
        <v>2346</v>
      </c>
      <c r="C1304" s="57" t="s">
        <v>176</v>
      </c>
      <c r="D1304" s="57" t="s">
        <v>177</v>
      </c>
      <c r="E1304" s="57" t="s">
        <v>175</v>
      </c>
      <c r="F1304" s="57">
        <f t="shared" si="26"/>
        <v>0</v>
      </c>
      <c r="G1304" s="57">
        <v>0</v>
      </c>
      <c r="H1304" s="57">
        <v>0.2757</v>
      </c>
      <c r="I1304" s="57">
        <v>0.17100000000000001</v>
      </c>
      <c r="J1304" s="33">
        <f t="shared" si="24"/>
        <v>0.2757</v>
      </c>
      <c r="K1304" s="33">
        <f t="shared" si="25"/>
        <v>0.17100000000000001</v>
      </c>
    </row>
    <row r="1305" spans="1:11" x14ac:dyDescent="0.2">
      <c r="A1305" s="70">
        <v>44704</v>
      </c>
      <c r="B1305" s="57">
        <v>2360</v>
      </c>
      <c r="C1305" s="57" t="s">
        <v>176</v>
      </c>
      <c r="D1305" s="57" t="s">
        <v>174</v>
      </c>
      <c r="E1305" s="57" t="s">
        <v>175</v>
      </c>
      <c r="F1305" s="57">
        <f t="shared" si="26"/>
        <v>1</v>
      </c>
      <c r="G1305" s="57">
        <v>0</v>
      </c>
      <c r="H1305" s="57">
        <v>0.74539999999999995</v>
      </c>
      <c r="I1305" s="57">
        <v>0.46600000000000003</v>
      </c>
      <c r="J1305" s="33">
        <f t="shared" si="24"/>
        <v>0.74539999999999995</v>
      </c>
      <c r="K1305" s="33">
        <f t="shared" si="25"/>
        <v>0.46600000000000003</v>
      </c>
    </row>
    <row r="1306" spans="1:11" x14ac:dyDescent="0.2">
      <c r="A1306" s="70">
        <v>44704</v>
      </c>
      <c r="B1306" s="57">
        <v>2022</v>
      </c>
      <c r="C1306" s="57" t="s">
        <v>176</v>
      </c>
      <c r="D1306" s="57" t="s">
        <v>174</v>
      </c>
      <c r="E1306" s="57" t="s">
        <v>175</v>
      </c>
      <c r="F1306" s="57">
        <f t="shared" si="26"/>
        <v>1</v>
      </c>
      <c r="G1306" s="57">
        <v>0</v>
      </c>
      <c r="H1306" s="57">
        <v>0.76939999999999997</v>
      </c>
      <c r="I1306" s="57">
        <v>0.46300000000000002</v>
      </c>
      <c r="J1306" s="33">
        <f t="shared" si="24"/>
        <v>0.76939999999999997</v>
      </c>
      <c r="K1306" s="33">
        <f t="shared" si="25"/>
        <v>0.46300000000000002</v>
      </c>
    </row>
    <row r="1307" spans="1:11" x14ac:dyDescent="0.2">
      <c r="A1307" s="70">
        <v>44704</v>
      </c>
      <c r="B1307" s="57">
        <v>2365</v>
      </c>
      <c r="C1307" s="57" t="s">
        <v>176</v>
      </c>
      <c r="D1307" s="57" t="s">
        <v>177</v>
      </c>
      <c r="E1307" s="57" t="s">
        <v>175</v>
      </c>
      <c r="F1307" s="57">
        <f t="shared" si="26"/>
        <v>0</v>
      </c>
      <c r="G1307" s="57">
        <v>0</v>
      </c>
      <c r="H1307" s="57">
        <v>0.10199999999999999</v>
      </c>
      <c r="I1307" s="57">
        <v>5.8999999999999997E-2</v>
      </c>
      <c r="J1307" s="33">
        <f t="shared" si="24"/>
        <v>0.10199999999999999</v>
      </c>
      <c r="K1307" s="33">
        <f t="shared" si="25"/>
        <v>5.8999999999999997E-2</v>
      </c>
    </row>
    <row r="1308" spans="1:11" x14ac:dyDescent="0.2">
      <c r="A1308" s="70">
        <v>44704</v>
      </c>
      <c r="B1308" s="57">
        <v>2031</v>
      </c>
      <c r="C1308" s="57" t="s">
        <v>176</v>
      </c>
      <c r="D1308" s="57" t="s">
        <v>177</v>
      </c>
      <c r="E1308" s="57" t="s">
        <v>175</v>
      </c>
      <c r="F1308" s="57">
        <f t="shared" si="26"/>
        <v>0</v>
      </c>
      <c r="G1308" s="57">
        <v>0</v>
      </c>
      <c r="H1308" s="57">
        <v>0.214</v>
      </c>
      <c r="I1308" s="57">
        <v>0.129</v>
      </c>
      <c r="J1308" s="33">
        <f t="shared" si="24"/>
        <v>0.214</v>
      </c>
      <c r="K1308" s="33">
        <f t="shared" si="25"/>
        <v>0.129</v>
      </c>
    </row>
    <row r="1309" spans="1:11" x14ac:dyDescent="0.2">
      <c r="A1309" s="70">
        <v>44704</v>
      </c>
      <c r="B1309" s="57">
        <v>2378</v>
      </c>
      <c r="C1309" s="57" t="s">
        <v>176</v>
      </c>
      <c r="D1309" s="57" t="s">
        <v>177</v>
      </c>
      <c r="E1309" s="57" t="s">
        <v>175</v>
      </c>
      <c r="F1309" s="57">
        <f t="shared" si="26"/>
        <v>0</v>
      </c>
      <c r="G1309" s="57">
        <v>0</v>
      </c>
      <c r="H1309" s="57">
        <v>0.12559999999999999</v>
      </c>
      <c r="I1309" s="57">
        <v>8.2000000000000003E-2</v>
      </c>
      <c r="J1309" s="33">
        <f t="shared" si="24"/>
        <v>0.12559999999999999</v>
      </c>
      <c r="K1309" s="33">
        <f t="shared" si="25"/>
        <v>8.2000000000000003E-2</v>
      </c>
    </row>
    <row r="1310" spans="1:11" x14ac:dyDescent="0.2">
      <c r="A1310" s="70">
        <v>44704</v>
      </c>
      <c r="B1310" s="57">
        <v>2367</v>
      </c>
      <c r="C1310" s="57" t="s">
        <v>176</v>
      </c>
      <c r="D1310" s="57" t="s">
        <v>177</v>
      </c>
      <c r="E1310" s="57" t="s">
        <v>175</v>
      </c>
      <c r="F1310" s="57">
        <f t="shared" si="26"/>
        <v>0</v>
      </c>
      <c r="G1310" s="57">
        <v>0</v>
      </c>
      <c r="H1310" s="57">
        <v>0.21240000000000001</v>
      </c>
      <c r="I1310" s="57">
        <v>0.13100000000000001</v>
      </c>
      <c r="J1310" s="33">
        <f t="shared" si="24"/>
        <v>0.21240000000000001</v>
      </c>
      <c r="K1310" s="33">
        <f t="shared" si="25"/>
        <v>0.13100000000000001</v>
      </c>
    </row>
    <row r="1311" spans="1:11" x14ac:dyDescent="0.2">
      <c r="A1311" s="70">
        <v>44704</v>
      </c>
      <c r="B1311" s="57">
        <v>2376</v>
      </c>
      <c r="C1311" s="57" t="s">
        <v>176</v>
      </c>
      <c r="D1311" s="57" t="s">
        <v>174</v>
      </c>
      <c r="E1311" s="57" t="s">
        <v>175</v>
      </c>
      <c r="F1311" s="57">
        <f t="shared" si="26"/>
        <v>1</v>
      </c>
      <c r="G1311" s="57">
        <v>0</v>
      </c>
      <c r="H1311" s="57">
        <v>0.66749999999999998</v>
      </c>
      <c r="I1311" s="57">
        <v>0.432</v>
      </c>
      <c r="J1311" s="33">
        <f t="shared" si="24"/>
        <v>0.66749999999999998</v>
      </c>
      <c r="K1311" s="33">
        <f t="shared" si="25"/>
        <v>0.432</v>
      </c>
    </row>
    <row r="1312" spans="1:11" x14ac:dyDescent="0.2">
      <c r="A1312" s="70">
        <v>44704</v>
      </c>
      <c r="B1312" s="57">
        <v>2014</v>
      </c>
      <c r="C1312" s="57" t="s">
        <v>176</v>
      </c>
      <c r="D1312" s="57" t="s">
        <v>177</v>
      </c>
      <c r="E1312" s="57" t="s">
        <v>175</v>
      </c>
      <c r="F1312" s="57">
        <f t="shared" si="26"/>
        <v>0</v>
      </c>
      <c r="G1312" s="57">
        <v>0</v>
      </c>
      <c r="H1312" s="57">
        <v>0.71450000000000002</v>
      </c>
      <c r="I1312" s="57">
        <v>0.40500000000000003</v>
      </c>
      <c r="J1312" s="33">
        <f t="shared" si="24"/>
        <v>0.71450000000000002</v>
      </c>
      <c r="K1312" s="33">
        <f t="shared" si="25"/>
        <v>0.40500000000000003</v>
      </c>
    </row>
    <row r="1313" spans="1:11" x14ac:dyDescent="0.2">
      <c r="A1313" s="70">
        <v>44704</v>
      </c>
      <c r="B1313" s="57">
        <v>2031</v>
      </c>
      <c r="C1313" s="57" t="s">
        <v>176</v>
      </c>
      <c r="D1313" s="57" t="s">
        <v>177</v>
      </c>
      <c r="E1313" s="57" t="s">
        <v>178</v>
      </c>
      <c r="F1313" s="57">
        <f t="shared" si="26"/>
        <v>0</v>
      </c>
      <c r="G1313" s="57">
        <v>0</v>
      </c>
      <c r="H1313" s="57">
        <v>2.2503000000000002</v>
      </c>
      <c r="I1313" s="57">
        <v>1.32</v>
      </c>
      <c r="J1313" s="33">
        <f t="shared" si="24"/>
        <v>2.2503000000000002</v>
      </c>
      <c r="K1313" s="33">
        <f t="shared" si="25"/>
        <v>1.32</v>
      </c>
    </row>
    <row r="1314" spans="1:11" x14ac:dyDescent="0.2">
      <c r="A1314" s="70">
        <v>44704</v>
      </c>
      <c r="B1314" s="57">
        <v>2378</v>
      </c>
      <c r="C1314" s="57" t="s">
        <v>176</v>
      </c>
      <c r="D1314" s="57" t="s">
        <v>177</v>
      </c>
      <c r="E1314" s="57" t="s">
        <v>178</v>
      </c>
      <c r="F1314" s="57">
        <f t="shared" si="26"/>
        <v>0</v>
      </c>
      <c r="G1314" s="57">
        <v>0</v>
      </c>
      <c r="H1314" s="57">
        <v>1.2912999999999999</v>
      </c>
      <c r="I1314" s="57">
        <v>0.73599999999999999</v>
      </c>
      <c r="J1314" s="33">
        <f t="shared" si="24"/>
        <v>1.2912999999999999</v>
      </c>
      <c r="K1314" s="33">
        <f t="shared" si="25"/>
        <v>0.73599999999999999</v>
      </c>
    </row>
    <row r="1315" spans="1:11" x14ac:dyDescent="0.2">
      <c r="A1315" s="70">
        <v>44704</v>
      </c>
      <c r="B1315" s="57">
        <v>2009</v>
      </c>
      <c r="C1315" s="57" t="s">
        <v>176</v>
      </c>
      <c r="D1315" s="57" t="s">
        <v>174</v>
      </c>
      <c r="E1315" s="57" t="s">
        <v>175</v>
      </c>
      <c r="F1315" s="57">
        <f t="shared" si="26"/>
        <v>1</v>
      </c>
      <c r="G1315" s="57">
        <v>0</v>
      </c>
      <c r="H1315" s="57">
        <v>0.71209999999999996</v>
      </c>
      <c r="I1315" s="57">
        <v>0.46300000000000002</v>
      </c>
      <c r="J1315" s="33">
        <f t="shared" si="24"/>
        <v>0.71209999999999996</v>
      </c>
      <c r="K1315" s="33">
        <f t="shared" si="25"/>
        <v>0.46300000000000002</v>
      </c>
    </row>
    <row r="1316" spans="1:11" x14ac:dyDescent="0.2">
      <c r="A1316" s="70">
        <v>44704</v>
      </c>
      <c r="B1316" s="57">
        <v>2010</v>
      </c>
      <c r="C1316" s="57" t="s">
        <v>176</v>
      </c>
      <c r="D1316" s="57" t="s">
        <v>174</v>
      </c>
      <c r="E1316" s="57" t="s">
        <v>175</v>
      </c>
      <c r="F1316" s="57">
        <f t="shared" si="26"/>
        <v>1</v>
      </c>
      <c r="G1316" s="57">
        <v>0</v>
      </c>
      <c r="H1316" s="57">
        <v>0.94989999999999997</v>
      </c>
      <c r="I1316" s="57">
        <v>0.57899999999999996</v>
      </c>
      <c r="J1316" s="33">
        <f t="shared" si="24"/>
        <v>0.94989999999999997</v>
      </c>
      <c r="K1316" s="33">
        <f t="shared" si="25"/>
        <v>0.57899999999999996</v>
      </c>
    </row>
    <row r="1317" spans="1:11" x14ac:dyDescent="0.2">
      <c r="A1317" s="70">
        <v>44704</v>
      </c>
      <c r="B1317" s="57">
        <v>2381</v>
      </c>
      <c r="C1317" s="57" t="s">
        <v>176</v>
      </c>
      <c r="D1317" s="57" t="s">
        <v>177</v>
      </c>
      <c r="E1317" s="57" t="s">
        <v>175</v>
      </c>
      <c r="F1317" s="57">
        <f t="shared" si="26"/>
        <v>0</v>
      </c>
      <c r="G1317" s="57">
        <v>0</v>
      </c>
      <c r="H1317" s="57">
        <v>0.153</v>
      </c>
      <c r="I1317" s="57">
        <v>8.8999999999999996E-2</v>
      </c>
      <c r="J1317" s="33">
        <f t="shared" si="24"/>
        <v>0.153</v>
      </c>
      <c r="K1317" s="33">
        <f t="shared" si="25"/>
        <v>8.8999999999999996E-2</v>
      </c>
    </row>
    <row r="1318" spans="1:11" x14ac:dyDescent="0.2">
      <c r="A1318" s="70">
        <v>44704</v>
      </c>
      <c r="B1318" s="57">
        <v>2377</v>
      </c>
      <c r="C1318" s="57" t="s">
        <v>176</v>
      </c>
      <c r="D1318" s="57" t="s">
        <v>177</v>
      </c>
      <c r="E1318" s="57" t="s">
        <v>178</v>
      </c>
      <c r="F1318" s="57">
        <f t="shared" si="26"/>
        <v>0</v>
      </c>
      <c r="G1318" s="57">
        <v>0</v>
      </c>
      <c r="H1318" s="57">
        <v>0.19980000000000001</v>
      </c>
      <c r="I1318" s="57">
        <v>0.11600000000000001</v>
      </c>
      <c r="J1318" s="33">
        <f t="shared" si="24"/>
        <v>0.19980000000000001</v>
      </c>
      <c r="K1318" s="33">
        <f t="shared" si="25"/>
        <v>0.11600000000000001</v>
      </c>
    </row>
    <row r="1319" spans="1:11" x14ac:dyDescent="0.2">
      <c r="A1319" s="70">
        <v>44704</v>
      </c>
      <c r="B1319" s="57">
        <v>2375</v>
      </c>
      <c r="C1319" s="57" t="s">
        <v>176</v>
      </c>
      <c r="D1319" s="57" t="s">
        <v>177</v>
      </c>
      <c r="E1319" s="57" t="s">
        <v>178</v>
      </c>
      <c r="F1319" s="57">
        <f t="shared" si="26"/>
        <v>0</v>
      </c>
      <c r="G1319" s="57">
        <v>0</v>
      </c>
      <c r="H1319" s="57">
        <v>2.7103000000000002</v>
      </c>
      <c r="I1319" s="57">
        <v>1.552</v>
      </c>
      <c r="J1319" s="33">
        <f t="shared" si="24"/>
        <v>2.7103000000000002</v>
      </c>
      <c r="K1319" s="33">
        <f t="shared" si="25"/>
        <v>1.552</v>
      </c>
    </row>
    <row r="1320" spans="1:11" x14ac:dyDescent="0.2">
      <c r="A1320" s="70">
        <v>44704</v>
      </c>
      <c r="B1320" s="57">
        <v>2031</v>
      </c>
      <c r="C1320" s="57" t="s">
        <v>176</v>
      </c>
      <c r="D1320" s="57" t="s">
        <v>174</v>
      </c>
      <c r="E1320" s="57" t="s">
        <v>175</v>
      </c>
      <c r="F1320" s="57">
        <f t="shared" si="26"/>
        <v>1</v>
      </c>
      <c r="G1320" s="57">
        <v>0</v>
      </c>
      <c r="H1320" s="57">
        <v>0.30869999999999997</v>
      </c>
      <c r="I1320" s="57">
        <v>0.19600000000000001</v>
      </c>
      <c r="J1320" s="33">
        <f t="shared" si="24"/>
        <v>0.30869999999999997</v>
      </c>
      <c r="K1320" s="33">
        <f t="shared" si="25"/>
        <v>0.19600000000000001</v>
      </c>
    </row>
    <row r="1321" spans="1:11" x14ac:dyDescent="0.2">
      <c r="A1321" s="70">
        <v>44704</v>
      </c>
      <c r="B1321" s="57">
        <v>2352</v>
      </c>
      <c r="C1321" s="57" t="s">
        <v>176</v>
      </c>
      <c r="D1321" s="57" t="s">
        <v>174</v>
      </c>
      <c r="E1321" s="57" t="s">
        <v>178</v>
      </c>
      <c r="F1321" s="57">
        <f t="shared" si="26"/>
        <v>1</v>
      </c>
      <c r="G1321" s="57">
        <v>0</v>
      </c>
      <c r="H1321" s="57">
        <v>1.0932999999999999</v>
      </c>
      <c r="I1321" s="57">
        <v>0.747</v>
      </c>
      <c r="J1321" s="33">
        <f t="shared" si="24"/>
        <v>1.0932999999999999</v>
      </c>
      <c r="K1321" s="33">
        <f t="shared" si="25"/>
        <v>0.747</v>
      </c>
    </row>
    <row r="1322" spans="1:11" x14ac:dyDescent="0.2">
      <c r="A1322" s="70">
        <v>44704</v>
      </c>
      <c r="B1322" s="57">
        <v>2009</v>
      </c>
      <c r="C1322" s="57" t="s">
        <v>176</v>
      </c>
      <c r="D1322" s="57" t="s">
        <v>177</v>
      </c>
      <c r="E1322" s="57" t="s">
        <v>178</v>
      </c>
      <c r="F1322" s="57">
        <f t="shared" si="26"/>
        <v>0</v>
      </c>
      <c r="G1322" s="57">
        <v>0</v>
      </c>
      <c r="H1322" s="57">
        <v>2.0105</v>
      </c>
      <c r="I1322" s="57">
        <v>1.2450000000000001</v>
      </c>
      <c r="J1322" s="33">
        <f t="shared" si="24"/>
        <v>2.0105</v>
      </c>
      <c r="K1322" s="33">
        <f t="shared" si="25"/>
        <v>1.2450000000000001</v>
      </c>
    </row>
    <row r="1323" spans="1:11" x14ac:dyDescent="0.2">
      <c r="A1323" s="70">
        <v>44704</v>
      </c>
      <c r="B1323" s="57">
        <v>2010</v>
      </c>
      <c r="C1323" s="57" t="s">
        <v>176</v>
      </c>
      <c r="D1323" s="57" t="s">
        <v>177</v>
      </c>
      <c r="E1323" s="57" t="s">
        <v>178</v>
      </c>
      <c r="F1323" s="57">
        <f t="shared" si="26"/>
        <v>0</v>
      </c>
      <c r="G1323" s="57">
        <v>0</v>
      </c>
      <c r="H1323" s="57">
        <v>2.4767000000000001</v>
      </c>
      <c r="I1323" s="57">
        <v>1.3069999999999999</v>
      </c>
      <c r="J1323" s="33">
        <f t="shared" si="24"/>
        <v>2.4767000000000001</v>
      </c>
      <c r="K1323" s="33">
        <f t="shared" si="25"/>
        <v>1.3069999999999999</v>
      </c>
    </row>
    <row r="1324" spans="1:11" x14ac:dyDescent="0.2">
      <c r="A1324" s="70">
        <v>44704</v>
      </c>
      <c r="B1324" s="57">
        <v>2346</v>
      </c>
      <c r="C1324" s="57" t="s">
        <v>176</v>
      </c>
      <c r="D1324" s="57" t="s">
        <v>174</v>
      </c>
      <c r="E1324" s="57" t="s">
        <v>175</v>
      </c>
      <c r="F1324" s="57">
        <f t="shared" si="26"/>
        <v>1</v>
      </c>
      <c r="G1324" s="57">
        <v>0</v>
      </c>
      <c r="H1324" s="57">
        <v>2.1412</v>
      </c>
      <c r="I1324" s="57">
        <v>1.37</v>
      </c>
      <c r="J1324" s="33">
        <f t="shared" si="24"/>
        <v>2.1412</v>
      </c>
      <c r="K1324" s="33">
        <f t="shared" si="25"/>
        <v>1.37</v>
      </c>
    </row>
    <row r="1325" spans="1:11" x14ac:dyDescent="0.2">
      <c r="A1325" s="70">
        <v>44704</v>
      </c>
      <c r="B1325" s="57">
        <v>2367</v>
      </c>
      <c r="C1325" s="57" t="s">
        <v>176</v>
      </c>
      <c r="D1325" s="57" t="s">
        <v>177</v>
      </c>
      <c r="E1325" s="57" t="s">
        <v>178</v>
      </c>
      <c r="F1325" s="57">
        <f t="shared" si="26"/>
        <v>0</v>
      </c>
      <c r="G1325" s="57">
        <v>0</v>
      </c>
      <c r="H1325" s="57">
        <v>1.0933999999999999</v>
      </c>
      <c r="I1325" s="57">
        <v>0.625</v>
      </c>
      <c r="J1325" s="33">
        <f t="shared" si="24"/>
        <v>1.0933999999999999</v>
      </c>
      <c r="K1325" s="33">
        <f t="shared" si="25"/>
        <v>0.625</v>
      </c>
    </row>
    <row r="1326" spans="1:11" x14ac:dyDescent="0.2">
      <c r="A1326" s="70">
        <v>44704</v>
      </c>
      <c r="B1326" s="57">
        <v>2352</v>
      </c>
      <c r="C1326" s="57" t="s">
        <v>176</v>
      </c>
      <c r="D1326" s="57" t="s">
        <v>174</v>
      </c>
      <c r="E1326" s="57" t="s">
        <v>175</v>
      </c>
      <c r="F1326" s="57">
        <f t="shared" si="26"/>
        <v>1</v>
      </c>
      <c r="G1326" s="57">
        <v>0</v>
      </c>
      <c r="H1326" s="57">
        <v>0.39439999999999997</v>
      </c>
      <c r="I1326" s="57">
        <v>0.26</v>
      </c>
      <c r="J1326" s="33">
        <f t="shared" si="24"/>
        <v>0.39439999999999997</v>
      </c>
      <c r="K1326" s="33">
        <f t="shared" si="25"/>
        <v>0.26</v>
      </c>
    </row>
    <row r="1327" spans="1:11" x14ac:dyDescent="0.2">
      <c r="A1327" s="70">
        <v>44704</v>
      </c>
      <c r="B1327" s="57">
        <v>2022</v>
      </c>
      <c r="C1327" s="57" t="s">
        <v>176</v>
      </c>
      <c r="D1327" s="57" t="s">
        <v>177</v>
      </c>
      <c r="E1327" s="57" t="s">
        <v>175</v>
      </c>
      <c r="F1327" s="57">
        <f t="shared" si="26"/>
        <v>0</v>
      </c>
      <c r="G1327" s="57">
        <v>0</v>
      </c>
      <c r="H1327" s="57">
        <v>2.6599999999999999E-2</v>
      </c>
      <c r="I1327" s="57">
        <v>1.2999999999999999E-2</v>
      </c>
      <c r="J1327" s="33">
        <f t="shared" si="24"/>
        <v>2.6599999999999999E-2</v>
      </c>
      <c r="K1327" s="33">
        <f t="shared" si="25"/>
        <v>1.2999999999999999E-2</v>
      </c>
    </row>
    <row r="1328" spans="1:11" x14ac:dyDescent="0.2">
      <c r="A1328" s="70">
        <v>44704</v>
      </c>
      <c r="B1328" s="57">
        <v>2354</v>
      </c>
      <c r="C1328" s="57" t="s">
        <v>176</v>
      </c>
      <c r="D1328" s="57" t="s">
        <v>174</v>
      </c>
      <c r="E1328" s="57" t="s">
        <v>178</v>
      </c>
      <c r="F1328" s="57">
        <f t="shared" si="26"/>
        <v>1</v>
      </c>
      <c r="G1328" s="57">
        <v>0</v>
      </c>
      <c r="H1328" s="57">
        <v>2.4775</v>
      </c>
      <c r="I1328" s="57">
        <v>1.601</v>
      </c>
      <c r="J1328" s="33">
        <f t="shared" si="24"/>
        <v>2.4775</v>
      </c>
      <c r="K1328" s="33">
        <f t="shared" si="25"/>
        <v>1.601</v>
      </c>
    </row>
    <row r="1329" spans="1:12" x14ac:dyDescent="0.2">
      <c r="A1329" s="70">
        <v>44704</v>
      </c>
      <c r="B1329" s="57">
        <v>2354</v>
      </c>
      <c r="C1329" s="57" t="s">
        <v>176</v>
      </c>
      <c r="D1329" s="57" t="s">
        <v>174</v>
      </c>
      <c r="E1329" s="57" t="s">
        <v>178</v>
      </c>
      <c r="F1329" s="57">
        <f t="shared" si="26"/>
        <v>1</v>
      </c>
      <c r="G1329" s="57">
        <v>0</v>
      </c>
      <c r="H1329" s="57">
        <v>2.0428000000000002</v>
      </c>
      <c r="I1329" s="57">
        <v>1.296</v>
      </c>
      <c r="J1329" s="33">
        <f t="shared" si="24"/>
        <v>2.0428000000000002</v>
      </c>
      <c r="K1329" s="33">
        <f t="shared" si="25"/>
        <v>1.296</v>
      </c>
    </row>
    <row r="1330" spans="1:12" x14ac:dyDescent="0.2">
      <c r="A1330" s="70">
        <v>44704</v>
      </c>
      <c r="B1330" s="57">
        <v>2376</v>
      </c>
      <c r="C1330" s="57" t="s">
        <v>176</v>
      </c>
      <c r="D1330" s="57" t="s">
        <v>174</v>
      </c>
      <c r="E1330" s="57" t="s">
        <v>178</v>
      </c>
      <c r="F1330" s="57">
        <f t="shared" si="26"/>
        <v>1</v>
      </c>
      <c r="G1330" s="57">
        <v>0</v>
      </c>
      <c r="H1330" s="57">
        <v>4.5189000000000004</v>
      </c>
      <c r="I1330" s="57">
        <v>2.802</v>
      </c>
      <c r="J1330" s="33">
        <f t="shared" si="24"/>
        <v>4.5189000000000004</v>
      </c>
      <c r="K1330" s="33">
        <f t="shared" si="25"/>
        <v>2.802</v>
      </c>
    </row>
    <row r="1331" spans="1:12" x14ac:dyDescent="0.2">
      <c r="A1331" s="70">
        <v>44704</v>
      </c>
      <c r="B1331" s="57">
        <v>2345</v>
      </c>
      <c r="C1331" s="57" t="s">
        <v>176</v>
      </c>
      <c r="D1331" s="57" t="s">
        <v>174</v>
      </c>
      <c r="E1331" s="57" t="s">
        <v>178</v>
      </c>
      <c r="F1331" s="57">
        <f t="shared" si="26"/>
        <v>1</v>
      </c>
      <c r="G1331" s="57">
        <v>0</v>
      </c>
      <c r="H1331" s="57">
        <v>2.3418000000000001</v>
      </c>
      <c r="I1331" s="57">
        <v>1.464</v>
      </c>
      <c r="J1331" s="33">
        <f t="shared" si="24"/>
        <v>2.3418000000000001</v>
      </c>
      <c r="K1331" s="33">
        <f t="shared" si="25"/>
        <v>1.464</v>
      </c>
    </row>
    <row r="1332" spans="1:12" x14ac:dyDescent="0.2">
      <c r="A1332" s="70">
        <v>44704</v>
      </c>
      <c r="B1332" s="57">
        <v>2365</v>
      </c>
      <c r="C1332" s="57" t="s">
        <v>176</v>
      </c>
      <c r="D1332" s="57" t="s">
        <v>177</v>
      </c>
      <c r="E1332" s="57" t="s">
        <v>178</v>
      </c>
      <c r="F1332" s="57">
        <f t="shared" si="26"/>
        <v>0</v>
      </c>
      <c r="G1332" s="57">
        <v>0</v>
      </c>
      <c r="H1332" s="57">
        <v>0.9929</v>
      </c>
      <c r="I1332" s="57">
        <v>0.57299999999999995</v>
      </c>
      <c r="J1332" s="33">
        <f t="shared" si="24"/>
        <v>0.9929</v>
      </c>
      <c r="K1332" s="33">
        <f t="shared" si="25"/>
        <v>0.57299999999999995</v>
      </c>
    </row>
    <row r="1333" spans="1:12" x14ac:dyDescent="0.2">
      <c r="A1333" s="70">
        <v>44704</v>
      </c>
      <c r="B1333" s="57">
        <v>2365</v>
      </c>
      <c r="C1333" s="57" t="s">
        <v>176</v>
      </c>
      <c r="D1333" s="57" t="s">
        <v>174</v>
      </c>
      <c r="E1333" s="57" t="s">
        <v>175</v>
      </c>
      <c r="F1333" s="57">
        <f t="shared" si="26"/>
        <v>1</v>
      </c>
      <c r="G1333" s="57">
        <v>0</v>
      </c>
      <c r="H1333" s="57">
        <v>0.1371</v>
      </c>
      <c r="I1333" s="57">
        <v>8.7999999999999995E-2</v>
      </c>
      <c r="J1333" s="33">
        <f t="shared" si="24"/>
        <v>0.1371</v>
      </c>
      <c r="K1333" s="33">
        <f t="shared" si="25"/>
        <v>8.7999999999999995E-2</v>
      </c>
    </row>
    <row r="1334" spans="1:12" x14ac:dyDescent="0.2">
      <c r="A1334" s="70">
        <v>44704</v>
      </c>
      <c r="B1334" s="57">
        <v>2360</v>
      </c>
      <c r="C1334" s="57" t="s">
        <v>176</v>
      </c>
      <c r="D1334" s="57" t="s">
        <v>177</v>
      </c>
      <c r="E1334" s="57" t="s">
        <v>175</v>
      </c>
      <c r="F1334" s="57">
        <f t="shared" si="26"/>
        <v>0</v>
      </c>
      <c r="G1334" s="57">
        <v>0</v>
      </c>
      <c r="H1334" s="57">
        <v>0.1641</v>
      </c>
      <c r="I1334" s="57">
        <v>0.10299999999999999</v>
      </c>
      <c r="J1334" s="33">
        <f t="shared" si="24"/>
        <v>0.1641</v>
      </c>
      <c r="K1334" s="33">
        <f t="shared" si="25"/>
        <v>0.10299999999999999</v>
      </c>
    </row>
    <row r="1335" spans="1:12" x14ac:dyDescent="0.2">
      <c r="A1335" s="70">
        <v>44705</v>
      </c>
      <c r="B1335" s="57" t="s">
        <v>181</v>
      </c>
      <c r="C1335" s="57" t="s">
        <v>176</v>
      </c>
      <c r="D1335" s="57" t="s">
        <v>177</v>
      </c>
      <c r="E1335" s="57" t="s">
        <v>175</v>
      </c>
      <c r="F1335" s="57">
        <f t="shared" si="26"/>
        <v>0</v>
      </c>
      <c r="G1335" s="57">
        <v>0</v>
      </c>
      <c r="H1335" s="57">
        <v>2.9333</v>
      </c>
      <c r="I1335" s="57">
        <v>0.48799999999999999</v>
      </c>
      <c r="J1335" s="33">
        <f t="shared" si="24"/>
        <v>2.9333</v>
      </c>
      <c r="K1335" s="33">
        <f t="shared" si="25"/>
        <v>0.48799999999999999</v>
      </c>
      <c r="L1335" s="57">
        <v>1</v>
      </c>
    </row>
    <row r="1336" spans="1:12" x14ac:dyDescent="0.2">
      <c r="A1336" s="70">
        <v>44705</v>
      </c>
      <c r="B1336" s="57" t="s">
        <v>142</v>
      </c>
      <c r="C1336" s="57" t="s">
        <v>176</v>
      </c>
      <c r="D1336" s="57" t="s">
        <v>177</v>
      </c>
      <c r="E1336" s="57" t="s">
        <v>175</v>
      </c>
      <c r="F1336" s="57">
        <f t="shared" si="26"/>
        <v>0</v>
      </c>
      <c r="G1336" s="57">
        <v>0</v>
      </c>
      <c r="H1336" s="57">
        <v>2.177</v>
      </c>
      <c r="I1336" s="57">
        <v>0.42099999999999999</v>
      </c>
      <c r="J1336" s="33">
        <f t="shared" si="24"/>
        <v>2.177</v>
      </c>
      <c r="K1336" s="33">
        <f t="shared" si="25"/>
        <v>0.42099999999999999</v>
      </c>
      <c r="L1336" s="57">
        <v>5</v>
      </c>
    </row>
    <row r="1337" spans="1:12" x14ac:dyDescent="0.2">
      <c r="A1337" s="70">
        <v>44705</v>
      </c>
      <c r="B1337" s="57" t="s">
        <v>181</v>
      </c>
      <c r="C1337" s="57" t="s">
        <v>176</v>
      </c>
      <c r="D1337" s="57" t="s">
        <v>177</v>
      </c>
      <c r="E1337" s="57" t="s">
        <v>178</v>
      </c>
      <c r="F1337" s="57">
        <f t="shared" si="26"/>
        <v>0</v>
      </c>
      <c r="G1337" s="57">
        <v>0</v>
      </c>
      <c r="H1337" s="57">
        <v>7.16</v>
      </c>
      <c r="I1337" s="57">
        <v>1.891</v>
      </c>
      <c r="J1337" s="33">
        <f t="shared" si="24"/>
        <v>7.16</v>
      </c>
      <c r="K1337" s="33">
        <f t="shared" si="25"/>
        <v>1.891</v>
      </c>
      <c r="L1337" s="57">
        <v>1</v>
      </c>
    </row>
    <row r="1338" spans="1:12" x14ac:dyDescent="0.2">
      <c r="A1338" s="70">
        <v>44705</v>
      </c>
      <c r="B1338" s="57" t="s">
        <v>182</v>
      </c>
      <c r="C1338" s="57" t="s">
        <v>176</v>
      </c>
      <c r="D1338" s="57" t="s">
        <v>177</v>
      </c>
      <c r="E1338" s="57" t="s">
        <v>175</v>
      </c>
      <c r="F1338" s="57">
        <f t="shared" si="26"/>
        <v>0</v>
      </c>
      <c r="G1338" s="57">
        <v>0</v>
      </c>
      <c r="H1338" s="57">
        <v>1.7685999999999999</v>
      </c>
      <c r="I1338" s="57">
        <v>0.23200000000000001</v>
      </c>
      <c r="J1338" s="33">
        <f t="shared" si="24"/>
        <v>1.7685999999999999</v>
      </c>
      <c r="K1338" s="33">
        <f t="shared" si="25"/>
        <v>0.23200000000000001</v>
      </c>
      <c r="L1338" s="57">
        <v>3</v>
      </c>
    </row>
    <row r="1339" spans="1:12" x14ac:dyDescent="0.2">
      <c r="A1339" s="70">
        <v>44705</v>
      </c>
      <c r="B1339" s="57" t="s">
        <v>182</v>
      </c>
      <c r="C1339" s="57" t="s">
        <v>176</v>
      </c>
      <c r="D1339" s="57" t="s">
        <v>177</v>
      </c>
      <c r="E1339" s="57" t="s">
        <v>175</v>
      </c>
      <c r="F1339" s="57">
        <f t="shared" si="26"/>
        <v>0</v>
      </c>
      <c r="G1339" s="57">
        <v>0</v>
      </c>
      <c r="H1339" s="57">
        <v>2.1070000000000002</v>
      </c>
      <c r="I1339" s="57">
        <v>0.35199999999999998</v>
      </c>
      <c r="J1339" s="33">
        <f t="shared" si="24"/>
        <v>2.1070000000000002</v>
      </c>
      <c r="K1339" s="33">
        <f t="shared" si="25"/>
        <v>0.35199999999999998</v>
      </c>
      <c r="L1339" s="57">
        <v>5</v>
      </c>
    </row>
    <row r="1340" spans="1:12" x14ac:dyDescent="0.2">
      <c r="A1340" s="70">
        <v>44705</v>
      </c>
      <c r="B1340" s="57" t="s">
        <v>142</v>
      </c>
      <c r="C1340" s="57" t="s">
        <v>176</v>
      </c>
      <c r="D1340" s="57" t="s">
        <v>177</v>
      </c>
      <c r="E1340" s="57" t="s">
        <v>175</v>
      </c>
      <c r="F1340" s="57">
        <f t="shared" si="26"/>
        <v>0</v>
      </c>
      <c r="G1340" s="57">
        <v>0</v>
      </c>
      <c r="H1340" s="57">
        <v>1.6819</v>
      </c>
      <c r="I1340" s="57">
        <v>0.24199999999999999</v>
      </c>
      <c r="J1340" s="33">
        <f t="shared" si="24"/>
        <v>1.6819</v>
      </c>
      <c r="K1340" s="33">
        <f t="shared" si="25"/>
        <v>0.24199999999999999</v>
      </c>
      <c r="L1340" s="57">
        <v>4</v>
      </c>
    </row>
    <row r="1341" spans="1:12" x14ac:dyDescent="0.2">
      <c r="A1341" s="70">
        <v>44705</v>
      </c>
      <c r="B1341" s="57" t="s">
        <v>142</v>
      </c>
      <c r="C1341" s="57" t="s">
        <v>176</v>
      </c>
      <c r="D1341" s="57" t="s">
        <v>177</v>
      </c>
      <c r="E1341" s="57" t="s">
        <v>178</v>
      </c>
      <c r="F1341" s="57">
        <f t="shared" si="26"/>
        <v>0</v>
      </c>
      <c r="G1341" s="57">
        <v>0</v>
      </c>
      <c r="H1341" s="57">
        <v>4.0789999999999997</v>
      </c>
      <c r="I1341" s="57">
        <v>1.206</v>
      </c>
      <c r="J1341" s="33">
        <f t="shared" si="24"/>
        <v>4.0789999999999997</v>
      </c>
      <c r="K1341" s="33">
        <f t="shared" si="25"/>
        <v>1.206</v>
      </c>
      <c r="L1341" s="57">
        <v>5</v>
      </c>
    </row>
    <row r="1342" spans="1:12" x14ac:dyDescent="0.2">
      <c r="A1342" s="70">
        <v>44705</v>
      </c>
      <c r="B1342" s="57" t="s">
        <v>181</v>
      </c>
      <c r="C1342" s="57" t="s">
        <v>176</v>
      </c>
      <c r="D1342" s="57" t="s">
        <v>177</v>
      </c>
      <c r="E1342" s="57" t="s">
        <v>178</v>
      </c>
      <c r="F1342" s="57">
        <f t="shared" si="26"/>
        <v>0</v>
      </c>
      <c r="G1342" s="57">
        <v>0</v>
      </c>
      <c r="H1342" s="57">
        <v>7.3879999999999999</v>
      </c>
      <c r="I1342" s="57">
        <v>1.63</v>
      </c>
      <c r="J1342" s="33">
        <f t="shared" si="24"/>
        <v>7.3879999999999999</v>
      </c>
      <c r="K1342" s="33">
        <f t="shared" si="25"/>
        <v>1.63</v>
      </c>
      <c r="L1342" s="57">
        <v>2.2000000000000002</v>
      </c>
    </row>
    <row r="1343" spans="1:12" x14ac:dyDescent="0.2">
      <c r="A1343" s="70">
        <v>44705</v>
      </c>
      <c r="B1343" s="57" t="s">
        <v>181</v>
      </c>
      <c r="C1343" s="57" t="s">
        <v>176</v>
      </c>
      <c r="D1343" s="57" t="s">
        <v>177</v>
      </c>
      <c r="E1343" s="57" t="s">
        <v>175</v>
      </c>
      <c r="F1343" s="57">
        <f t="shared" si="26"/>
        <v>0</v>
      </c>
      <c r="G1343" s="57">
        <v>0</v>
      </c>
      <c r="H1343" s="57">
        <v>3.3835000000000002</v>
      </c>
      <c r="I1343" s="57">
        <v>0.57899999999999996</v>
      </c>
      <c r="J1343" s="33">
        <f t="shared" si="24"/>
        <v>3.3835000000000002</v>
      </c>
      <c r="K1343" s="33">
        <f t="shared" si="25"/>
        <v>0.57899999999999996</v>
      </c>
      <c r="L1343" s="57">
        <v>5</v>
      </c>
    </row>
    <row r="1344" spans="1:12" x14ac:dyDescent="0.2">
      <c r="A1344" s="70">
        <v>44705</v>
      </c>
      <c r="B1344" s="57" t="s">
        <v>181</v>
      </c>
      <c r="C1344" s="57" t="s">
        <v>176</v>
      </c>
      <c r="D1344" s="57" t="s">
        <v>177</v>
      </c>
      <c r="E1344" s="57" t="s">
        <v>175</v>
      </c>
      <c r="F1344" s="57">
        <f t="shared" si="26"/>
        <v>0</v>
      </c>
      <c r="G1344" s="57">
        <v>0</v>
      </c>
      <c r="H1344" s="57">
        <v>2.8246000000000002</v>
      </c>
      <c r="I1344" s="57">
        <v>0.47</v>
      </c>
      <c r="J1344" s="33">
        <f t="shared" si="24"/>
        <v>2.8246000000000002</v>
      </c>
      <c r="K1344" s="33">
        <f t="shared" si="25"/>
        <v>0.47</v>
      </c>
      <c r="L1344" s="57">
        <v>2.1</v>
      </c>
    </row>
    <row r="1345" spans="1:12" x14ac:dyDescent="0.2">
      <c r="A1345" s="70">
        <v>44705</v>
      </c>
      <c r="B1345" s="57" t="s">
        <v>181</v>
      </c>
      <c r="C1345" s="57" t="s">
        <v>176</v>
      </c>
      <c r="D1345" s="57" t="s">
        <v>177</v>
      </c>
      <c r="E1345" s="57" t="s">
        <v>175</v>
      </c>
      <c r="F1345" s="57">
        <f t="shared" si="26"/>
        <v>0</v>
      </c>
      <c r="G1345" s="57">
        <v>0</v>
      </c>
      <c r="H1345" s="57">
        <v>2.7035999999999998</v>
      </c>
      <c r="I1345" s="57">
        <v>0.34699999999999998</v>
      </c>
      <c r="J1345" s="33">
        <f t="shared" si="24"/>
        <v>2.7035999999999998</v>
      </c>
      <c r="K1345" s="33">
        <f t="shared" si="25"/>
        <v>0.34699999999999998</v>
      </c>
      <c r="L1345" s="57">
        <v>2.2000000000000002</v>
      </c>
    </row>
    <row r="1346" spans="1:12" x14ac:dyDescent="0.2">
      <c r="A1346" s="70">
        <v>44705</v>
      </c>
      <c r="B1346" s="57" t="s">
        <v>142</v>
      </c>
      <c r="C1346" s="57" t="s">
        <v>176</v>
      </c>
      <c r="D1346" s="57" t="s">
        <v>177</v>
      </c>
      <c r="E1346" s="57" t="s">
        <v>178</v>
      </c>
      <c r="F1346" s="57">
        <f t="shared" si="26"/>
        <v>0</v>
      </c>
      <c r="G1346" s="57">
        <v>0</v>
      </c>
      <c r="H1346" s="57">
        <v>3.6718000000000002</v>
      </c>
      <c r="I1346" s="57">
        <v>1.028</v>
      </c>
      <c r="J1346" s="33">
        <f t="shared" si="24"/>
        <v>3.6718000000000002</v>
      </c>
      <c r="K1346" s="33">
        <f t="shared" si="25"/>
        <v>1.028</v>
      </c>
      <c r="L1346" s="57">
        <v>3</v>
      </c>
    </row>
    <row r="1347" spans="1:12" x14ac:dyDescent="0.2">
      <c r="A1347" s="70">
        <v>44705</v>
      </c>
      <c r="B1347" s="57" t="s">
        <v>142</v>
      </c>
      <c r="C1347" s="57" t="s">
        <v>176</v>
      </c>
      <c r="D1347" s="57" t="s">
        <v>177</v>
      </c>
      <c r="E1347" s="57" t="s">
        <v>178</v>
      </c>
      <c r="F1347" s="57">
        <f t="shared" si="26"/>
        <v>0</v>
      </c>
      <c r="G1347" s="57">
        <v>0</v>
      </c>
      <c r="H1347" s="57">
        <v>3.8395999999999999</v>
      </c>
      <c r="I1347" s="57">
        <v>1.329</v>
      </c>
      <c r="J1347" s="33">
        <f t="shared" si="24"/>
        <v>3.8395999999999999</v>
      </c>
      <c r="K1347" s="33">
        <f t="shared" si="25"/>
        <v>1.329</v>
      </c>
      <c r="L1347" s="57">
        <v>1</v>
      </c>
    </row>
    <row r="1348" spans="1:12" x14ac:dyDescent="0.2">
      <c r="A1348" s="70">
        <v>44705</v>
      </c>
      <c r="B1348" s="57" t="s">
        <v>181</v>
      </c>
      <c r="C1348" s="57" t="s">
        <v>176</v>
      </c>
      <c r="D1348" s="57" t="s">
        <v>177</v>
      </c>
      <c r="E1348" s="57" t="s">
        <v>178</v>
      </c>
      <c r="F1348" s="57">
        <f t="shared" si="26"/>
        <v>0</v>
      </c>
      <c r="G1348" s="57">
        <v>0</v>
      </c>
      <c r="H1348" s="57">
        <v>2.0830000000000002</v>
      </c>
      <c r="I1348" s="57">
        <v>7.5050999999999997</v>
      </c>
      <c r="J1348" s="33">
        <f t="shared" si="24"/>
        <v>2.0830000000000002</v>
      </c>
      <c r="K1348" s="33">
        <f t="shared" si="25"/>
        <v>7.5050999999999997</v>
      </c>
      <c r="L1348" s="57">
        <v>5</v>
      </c>
    </row>
    <row r="1349" spans="1:12" x14ac:dyDescent="0.2">
      <c r="A1349" s="70">
        <v>44705</v>
      </c>
      <c r="B1349" s="57" t="s">
        <v>182</v>
      </c>
      <c r="C1349" s="57" t="s">
        <v>176</v>
      </c>
      <c r="D1349" s="57" t="s">
        <v>177</v>
      </c>
      <c r="E1349" s="57" t="s">
        <v>178</v>
      </c>
      <c r="F1349" s="57">
        <f t="shared" si="26"/>
        <v>0</v>
      </c>
      <c r="G1349" s="57">
        <v>0</v>
      </c>
      <c r="H1349" s="57">
        <v>3.6192000000000002</v>
      </c>
      <c r="I1349" s="57">
        <v>1.0920000000000001</v>
      </c>
      <c r="J1349" s="33">
        <f t="shared" si="24"/>
        <v>3.6192000000000002</v>
      </c>
      <c r="K1349" s="33">
        <f t="shared" si="25"/>
        <v>1.0920000000000001</v>
      </c>
      <c r="L1349" s="57">
        <v>3</v>
      </c>
    </row>
    <row r="1350" spans="1:12" x14ac:dyDescent="0.2">
      <c r="A1350" s="70">
        <v>44705</v>
      </c>
      <c r="B1350" s="57" t="s">
        <v>182</v>
      </c>
      <c r="C1350" s="57" t="s">
        <v>176</v>
      </c>
      <c r="D1350" s="57" t="s">
        <v>177</v>
      </c>
      <c r="E1350" s="57" t="s">
        <v>178</v>
      </c>
      <c r="F1350" s="57">
        <f t="shared" si="26"/>
        <v>0</v>
      </c>
      <c r="G1350" s="57">
        <v>0</v>
      </c>
      <c r="H1350" s="57">
        <v>4.6833999999999998</v>
      </c>
      <c r="I1350" s="57">
        <v>1.2689999999999999</v>
      </c>
      <c r="J1350" s="33">
        <f t="shared" si="24"/>
        <v>4.6833999999999998</v>
      </c>
      <c r="K1350" s="33">
        <f t="shared" si="25"/>
        <v>1.2689999999999999</v>
      </c>
      <c r="L1350" s="57">
        <v>5</v>
      </c>
    </row>
    <row r="1351" spans="1:12" x14ac:dyDescent="0.2">
      <c r="A1351" s="70">
        <v>44705</v>
      </c>
      <c r="B1351" s="57" t="s">
        <v>142</v>
      </c>
      <c r="C1351" s="57" t="s">
        <v>176</v>
      </c>
      <c r="D1351" s="57" t="s">
        <v>177</v>
      </c>
      <c r="E1351" s="57" t="s">
        <v>178</v>
      </c>
      <c r="F1351" s="57">
        <f t="shared" si="26"/>
        <v>0</v>
      </c>
      <c r="G1351" s="57">
        <v>0</v>
      </c>
      <c r="H1351" s="57">
        <v>3.3666</v>
      </c>
      <c r="I1351" s="57">
        <v>0.95299999999999996</v>
      </c>
      <c r="J1351" s="33">
        <f t="shared" si="24"/>
        <v>3.3666</v>
      </c>
      <c r="K1351" s="33">
        <f t="shared" si="25"/>
        <v>0.95299999999999996</v>
      </c>
      <c r="L1351" s="57">
        <v>4</v>
      </c>
    </row>
    <row r="1352" spans="1:12" x14ac:dyDescent="0.2">
      <c r="A1352" s="70">
        <v>44705</v>
      </c>
      <c r="B1352" s="57" t="s">
        <v>182</v>
      </c>
      <c r="C1352" s="57" t="s">
        <v>176</v>
      </c>
      <c r="D1352" s="57" t="s">
        <v>177</v>
      </c>
      <c r="E1352" s="57" t="s">
        <v>178</v>
      </c>
      <c r="F1352" s="57">
        <f t="shared" si="26"/>
        <v>0</v>
      </c>
      <c r="G1352" s="57">
        <v>0</v>
      </c>
      <c r="H1352" s="57">
        <v>4.3503999999999996</v>
      </c>
      <c r="I1352" s="57">
        <v>1.296</v>
      </c>
      <c r="J1352" s="33">
        <f t="shared" si="24"/>
        <v>4.3503999999999996</v>
      </c>
      <c r="K1352" s="33">
        <f t="shared" si="25"/>
        <v>1.296</v>
      </c>
      <c r="L1352" s="57">
        <v>4</v>
      </c>
    </row>
    <row r="1353" spans="1:12" x14ac:dyDescent="0.2">
      <c r="A1353" s="70">
        <v>44705</v>
      </c>
      <c r="B1353" s="57" t="s">
        <v>142</v>
      </c>
      <c r="C1353" s="57" t="s">
        <v>176</v>
      </c>
      <c r="D1353" s="57" t="s">
        <v>177</v>
      </c>
      <c r="E1353" s="57" t="s">
        <v>175</v>
      </c>
      <c r="F1353" s="57">
        <f t="shared" si="26"/>
        <v>0</v>
      </c>
      <c r="G1353" s="57">
        <v>0</v>
      </c>
      <c r="H1353" s="57">
        <v>1.9159999999999999</v>
      </c>
      <c r="I1353" s="57">
        <v>0.39700000000000002</v>
      </c>
      <c r="J1353" s="33">
        <f t="shared" si="24"/>
        <v>1.9159999999999999</v>
      </c>
      <c r="K1353" s="33">
        <f t="shared" si="25"/>
        <v>0.39700000000000002</v>
      </c>
      <c r="L1353" s="57">
        <v>1</v>
      </c>
    </row>
    <row r="1354" spans="1:12" x14ac:dyDescent="0.2">
      <c r="A1354" s="70">
        <v>44705</v>
      </c>
      <c r="B1354" s="57" t="s">
        <v>142</v>
      </c>
      <c r="C1354" s="57" t="s">
        <v>176</v>
      </c>
      <c r="D1354" s="57" t="s">
        <v>177</v>
      </c>
      <c r="E1354" s="57" t="s">
        <v>175</v>
      </c>
      <c r="F1354" s="57">
        <f t="shared" si="26"/>
        <v>0</v>
      </c>
      <c r="G1354" s="57">
        <v>0</v>
      </c>
      <c r="H1354" s="57">
        <v>1.8117000000000001</v>
      </c>
      <c r="I1354" s="57">
        <v>0.30099999999999999</v>
      </c>
      <c r="J1354" s="33">
        <f t="shared" si="24"/>
        <v>1.8117000000000001</v>
      </c>
      <c r="K1354" s="33">
        <f t="shared" si="25"/>
        <v>0.30099999999999999</v>
      </c>
      <c r="L1354" s="57">
        <v>3</v>
      </c>
    </row>
    <row r="1355" spans="1:12" x14ac:dyDescent="0.2">
      <c r="A1355" s="70">
        <v>44705</v>
      </c>
      <c r="B1355" s="57" t="s">
        <v>182</v>
      </c>
      <c r="C1355" s="57" t="s">
        <v>176</v>
      </c>
      <c r="D1355" s="57" t="s">
        <v>177</v>
      </c>
      <c r="E1355" s="57" t="s">
        <v>175</v>
      </c>
      <c r="F1355" s="57">
        <f t="shared" si="26"/>
        <v>0</v>
      </c>
      <c r="G1355" s="57">
        <v>0</v>
      </c>
      <c r="H1355" s="57">
        <v>1.819</v>
      </c>
      <c r="I1355" s="57">
        <v>0.26400000000000001</v>
      </c>
      <c r="J1355" s="33">
        <f t="shared" si="24"/>
        <v>1.819</v>
      </c>
      <c r="K1355" s="33">
        <f t="shared" si="25"/>
        <v>0.26400000000000001</v>
      </c>
      <c r="L1355" s="57">
        <v>4</v>
      </c>
    </row>
    <row r="1356" spans="1:12" x14ac:dyDescent="0.2">
      <c r="A1356" s="70">
        <v>44705</v>
      </c>
      <c r="B1356" s="57" t="s">
        <v>181</v>
      </c>
      <c r="C1356" s="57" t="s">
        <v>176</v>
      </c>
      <c r="D1356" s="57" t="s">
        <v>177</v>
      </c>
      <c r="E1356" s="57" t="s">
        <v>178</v>
      </c>
      <c r="F1356" s="57">
        <f t="shared" si="26"/>
        <v>0</v>
      </c>
      <c r="G1356" s="57">
        <v>0</v>
      </c>
      <c r="H1356" s="57">
        <v>8.3542000000000005</v>
      </c>
      <c r="I1356" s="57">
        <v>2.2120000000000002</v>
      </c>
      <c r="J1356" s="33">
        <f t="shared" si="24"/>
        <v>8.3542000000000005</v>
      </c>
      <c r="K1356" s="33">
        <f t="shared" si="25"/>
        <v>2.2120000000000002</v>
      </c>
      <c r="L1356" s="57">
        <v>2.1</v>
      </c>
    </row>
    <row r="1357" spans="1:12" x14ac:dyDescent="0.2">
      <c r="A1357" s="70"/>
      <c r="B1357" s="57"/>
      <c r="C1357" s="57"/>
      <c r="D1357" s="57"/>
      <c r="E1357" s="57"/>
      <c r="F1357" s="57">
        <f t="shared" si="26"/>
        <v>0</v>
      </c>
      <c r="G1357" s="57"/>
      <c r="H1357" s="57"/>
      <c r="I1357" s="57"/>
      <c r="J1357" s="33">
        <f t="shared" si="24"/>
        <v>0</v>
      </c>
      <c r="K1357" s="33">
        <f t="shared" si="25"/>
        <v>0</v>
      </c>
    </row>
    <row r="1358" spans="1:12" x14ac:dyDescent="0.2">
      <c r="A1358" s="70"/>
      <c r="B1358" s="57"/>
      <c r="C1358" s="57"/>
      <c r="D1358" s="57"/>
      <c r="E1358" s="57"/>
      <c r="F1358" s="57">
        <f t="shared" si="26"/>
        <v>0</v>
      </c>
      <c r="G1358" s="57"/>
      <c r="H1358" s="57"/>
      <c r="I1358" s="57"/>
      <c r="J1358" s="33">
        <f t="shared" si="24"/>
        <v>0</v>
      </c>
      <c r="K1358" s="33">
        <f t="shared" si="25"/>
        <v>0</v>
      </c>
    </row>
    <row r="1359" spans="1:12" x14ac:dyDescent="0.2">
      <c r="A1359" s="70"/>
      <c r="B1359" s="57"/>
      <c r="C1359" s="57"/>
      <c r="D1359" s="57"/>
      <c r="E1359" s="57"/>
      <c r="F1359" s="57">
        <f t="shared" si="26"/>
        <v>0</v>
      </c>
      <c r="G1359" s="57"/>
      <c r="H1359" s="57"/>
      <c r="I1359" s="57"/>
      <c r="J1359" s="33">
        <f t="shared" si="24"/>
        <v>0</v>
      </c>
      <c r="K1359" s="33">
        <f t="shared" si="25"/>
        <v>0</v>
      </c>
    </row>
    <row r="1360" spans="1:12" x14ac:dyDescent="0.2">
      <c r="A1360" s="70"/>
      <c r="B1360" s="57"/>
      <c r="C1360" s="57"/>
      <c r="D1360" s="57"/>
      <c r="E1360" s="57"/>
      <c r="F1360" s="57">
        <f t="shared" si="26"/>
        <v>0</v>
      </c>
      <c r="G1360" s="57"/>
      <c r="H1360" s="57"/>
      <c r="I1360" s="57"/>
      <c r="J1360" s="33">
        <f t="shared" si="24"/>
        <v>0</v>
      </c>
      <c r="K1360" s="33">
        <f t="shared" si="25"/>
        <v>0</v>
      </c>
    </row>
    <row r="1361" spans="1:11" x14ac:dyDescent="0.2">
      <c r="A1361" s="70"/>
      <c r="B1361" s="57"/>
      <c r="C1361" s="57"/>
      <c r="D1361" s="57"/>
      <c r="E1361" s="57"/>
      <c r="F1361" s="57">
        <f t="shared" si="26"/>
        <v>0</v>
      </c>
      <c r="G1361" s="57"/>
      <c r="H1361" s="57"/>
      <c r="I1361" s="57"/>
      <c r="J1361" s="33">
        <f t="shared" si="24"/>
        <v>0</v>
      </c>
      <c r="K1361" s="33">
        <f t="shared" si="25"/>
        <v>0</v>
      </c>
    </row>
    <row r="1362" spans="1:11" x14ac:dyDescent="0.2">
      <c r="A1362" s="70"/>
      <c r="B1362" s="57"/>
      <c r="C1362" s="57"/>
      <c r="D1362" s="57"/>
      <c r="E1362" s="57"/>
      <c r="F1362" s="57">
        <f t="shared" si="26"/>
        <v>0</v>
      </c>
      <c r="G1362" s="57"/>
      <c r="H1362" s="57"/>
      <c r="I1362" s="57"/>
      <c r="J1362" s="33">
        <f t="shared" si="24"/>
        <v>0</v>
      </c>
      <c r="K1362" s="33">
        <f t="shared" si="25"/>
        <v>0</v>
      </c>
    </row>
    <row r="1363" spans="1:11" x14ac:dyDescent="0.2">
      <c r="A1363" s="70"/>
      <c r="B1363" s="57"/>
      <c r="C1363" s="57"/>
      <c r="D1363" s="57"/>
      <c r="E1363" s="57"/>
      <c r="F1363" s="57">
        <f t="shared" si="26"/>
        <v>0</v>
      </c>
      <c r="G1363" s="57"/>
      <c r="H1363" s="57"/>
      <c r="I1363" s="57"/>
      <c r="J1363" s="33">
        <f t="shared" si="24"/>
        <v>0</v>
      </c>
      <c r="K1363" s="33">
        <f t="shared" si="25"/>
        <v>0</v>
      </c>
    </row>
    <row r="1364" spans="1:11" x14ac:dyDescent="0.2">
      <c r="A1364" s="70"/>
      <c r="B1364" s="57"/>
      <c r="C1364" s="57"/>
      <c r="D1364" s="57"/>
      <c r="E1364" s="57"/>
      <c r="F1364" s="57">
        <f t="shared" si="26"/>
        <v>0</v>
      </c>
      <c r="G1364" s="57"/>
      <c r="H1364" s="57"/>
      <c r="I1364" s="57"/>
      <c r="J1364" s="33">
        <f t="shared" si="24"/>
        <v>0</v>
      </c>
      <c r="K1364" s="33">
        <f t="shared" si="25"/>
        <v>0</v>
      </c>
    </row>
    <row r="1365" spans="1:11" x14ac:dyDescent="0.2">
      <c r="A1365" s="70"/>
      <c r="B1365" s="57"/>
      <c r="C1365" s="57"/>
      <c r="D1365" s="57"/>
      <c r="E1365" s="57"/>
      <c r="F1365" s="57">
        <f t="shared" si="26"/>
        <v>0</v>
      </c>
      <c r="G1365" s="57"/>
      <c r="H1365" s="57"/>
      <c r="I1365" s="57"/>
      <c r="J1365" s="33">
        <f t="shared" si="24"/>
        <v>0</v>
      </c>
      <c r="K1365" s="33">
        <f t="shared" si="25"/>
        <v>0</v>
      </c>
    </row>
    <row r="1366" spans="1:11" x14ac:dyDescent="0.2">
      <c r="A1366" s="70"/>
      <c r="B1366" s="57"/>
      <c r="C1366" s="57"/>
      <c r="D1366" s="57"/>
      <c r="E1366" s="57"/>
      <c r="F1366" s="57">
        <f t="shared" si="26"/>
        <v>0</v>
      </c>
      <c r="G1366" s="57"/>
      <c r="H1366" s="57"/>
      <c r="I1366" s="57"/>
      <c r="J1366" s="33">
        <f t="shared" si="24"/>
        <v>0</v>
      </c>
      <c r="K1366" s="33">
        <f t="shared" si="25"/>
        <v>0</v>
      </c>
    </row>
    <row r="1367" spans="1:11" x14ac:dyDescent="0.2">
      <c r="A1367" s="70"/>
      <c r="B1367" s="57"/>
      <c r="C1367" s="57"/>
      <c r="D1367" s="57"/>
      <c r="E1367" s="57"/>
      <c r="F1367" s="57">
        <f t="shared" si="26"/>
        <v>0</v>
      </c>
      <c r="G1367" s="57"/>
      <c r="H1367" s="57"/>
      <c r="I1367" s="57"/>
      <c r="J1367" s="33">
        <f t="shared" si="24"/>
        <v>0</v>
      </c>
      <c r="K1367" s="33">
        <f t="shared" si="25"/>
        <v>0</v>
      </c>
    </row>
    <row r="1368" spans="1:11" x14ac:dyDescent="0.2">
      <c r="A1368" s="70"/>
      <c r="B1368" s="57"/>
      <c r="C1368" s="57"/>
      <c r="D1368" s="57"/>
      <c r="E1368" s="57"/>
      <c r="F1368" s="57">
        <f t="shared" si="26"/>
        <v>0</v>
      </c>
      <c r="G1368" s="57"/>
      <c r="H1368" s="57"/>
      <c r="I1368" s="57"/>
      <c r="J1368" s="33">
        <f t="shared" si="24"/>
        <v>0</v>
      </c>
      <c r="K1368" s="33">
        <f t="shared" si="25"/>
        <v>0</v>
      </c>
    </row>
    <row r="1369" spans="1:11" x14ac:dyDescent="0.2">
      <c r="A1369" s="70"/>
      <c r="B1369" s="57"/>
      <c r="C1369" s="57"/>
      <c r="D1369" s="57"/>
      <c r="E1369" s="57"/>
      <c r="F1369" s="57">
        <f t="shared" si="26"/>
        <v>0</v>
      </c>
      <c r="G1369" s="57"/>
      <c r="H1369" s="57"/>
      <c r="I1369" s="57"/>
      <c r="J1369" s="33">
        <f t="shared" si="24"/>
        <v>0</v>
      </c>
      <c r="K1369" s="33">
        <f t="shared" si="25"/>
        <v>0</v>
      </c>
    </row>
    <row r="1370" spans="1:11" x14ac:dyDescent="0.2">
      <c r="A1370" s="70"/>
      <c r="B1370" s="57"/>
      <c r="C1370" s="57"/>
      <c r="D1370" s="57"/>
      <c r="E1370" s="57"/>
      <c r="F1370" s="57">
        <f t="shared" si="26"/>
        <v>0</v>
      </c>
      <c r="G1370" s="57"/>
      <c r="H1370" s="57"/>
      <c r="I1370" s="57"/>
      <c r="J1370" s="33">
        <f t="shared" si="24"/>
        <v>0</v>
      </c>
      <c r="K1370" s="33">
        <f t="shared" si="25"/>
        <v>0</v>
      </c>
    </row>
    <row r="1371" spans="1:11" x14ac:dyDescent="0.2">
      <c r="A1371" s="70"/>
      <c r="B1371" s="57"/>
      <c r="C1371" s="57"/>
      <c r="D1371" s="57"/>
      <c r="E1371" s="57"/>
      <c r="F1371" s="57">
        <f t="shared" si="26"/>
        <v>0</v>
      </c>
      <c r="G1371" s="57"/>
      <c r="H1371" s="57"/>
      <c r="I1371" s="57"/>
      <c r="J1371" s="33">
        <f t="shared" si="24"/>
        <v>0</v>
      </c>
      <c r="K1371" s="33">
        <f t="shared" si="25"/>
        <v>0</v>
      </c>
    </row>
    <row r="1372" spans="1:11" x14ac:dyDescent="0.2">
      <c r="A1372" s="70"/>
      <c r="B1372" s="57"/>
      <c r="C1372" s="57"/>
      <c r="D1372" s="57"/>
      <c r="E1372" s="57"/>
      <c r="F1372" s="57">
        <f t="shared" si="26"/>
        <v>0</v>
      </c>
      <c r="G1372" s="57"/>
      <c r="H1372" s="57"/>
      <c r="I1372" s="57"/>
      <c r="J1372" s="33">
        <f t="shared" si="24"/>
        <v>0</v>
      </c>
      <c r="K1372" s="33">
        <f t="shared" si="25"/>
        <v>0</v>
      </c>
    </row>
    <row r="1373" spans="1:11" x14ac:dyDescent="0.2">
      <c r="A1373" s="70"/>
      <c r="B1373" s="57"/>
      <c r="C1373" s="57"/>
      <c r="D1373" s="57"/>
      <c r="E1373" s="57"/>
      <c r="F1373" s="57">
        <f t="shared" si="26"/>
        <v>0</v>
      </c>
      <c r="G1373" s="57"/>
      <c r="H1373" s="57"/>
      <c r="I1373" s="57"/>
      <c r="J1373" s="33">
        <f t="shared" si="24"/>
        <v>0</v>
      </c>
      <c r="K1373" s="33">
        <f t="shared" si="25"/>
        <v>0</v>
      </c>
    </row>
    <row r="1374" spans="1:11" x14ac:dyDescent="0.2">
      <c r="A1374" s="70"/>
      <c r="B1374" s="57"/>
      <c r="C1374" s="57"/>
      <c r="D1374" s="57"/>
      <c r="E1374" s="57"/>
      <c r="F1374" s="57">
        <f t="shared" si="26"/>
        <v>0</v>
      </c>
      <c r="G1374" s="57"/>
      <c r="H1374" s="57"/>
      <c r="I1374" s="57"/>
      <c r="J1374" s="33">
        <f t="shared" si="24"/>
        <v>0</v>
      </c>
      <c r="K1374" s="33">
        <f t="shared" si="25"/>
        <v>0</v>
      </c>
    </row>
    <row r="1375" spans="1:11" x14ac:dyDescent="0.2">
      <c r="A1375" s="70"/>
      <c r="B1375" s="57"/>
      <c r="C1375" s="57"/>
      <c r="D1375" s="57"/>
      <c r="E1375" s="57"/>
      <c r="F1375" s="57">
        <f t="shared" si="26"/>
        <v>0</v>
      </c>
      <c r="G1375" s="57"/>
      <c r="H1375" s="57"/>
      <c r="I1375" s="57"/>
      <c r="J1375" s="33">
        <f t="shared" si="24"/>
        <v>0</v>
      </c>
      <c r="K1375" s="33">
        <f t="shared" si="25"/>
        <v>0</v>
      </c>
    </row>
    <row r="1376" spans="1:11" x14ac:dyDescent="0.2">
      <c r="A1376" s="70"/>
      <c r="B1376" s="57"/>
      <c r="C1376" s="57"/>
      <c r="D1376" s="57"/>
      <c r="E1376" s="57"/>
      <c r="F1376" s="57">
        <f t="shared" si="26"/>
        <v>0</v>
      </c>
      <c r="G1376" s="57"/>
      <c r="H1376" s="57"/>
      <c r="I1376" s="57"/>
      <c r="J1376" s="33">
        <f t="shared" si="24"/>
        <v>0</v>
      </c>
      <c r="K1376" s="33">
        <f t="shared" si="25"/>
        <v>0</v>
      </c>
    </row>
    <row r="1377" spans="1:11" x14ac:dyDescent="0.2">
      <c r="A1377" s="70"/>
      <c r="B1377" s="57"/>
      <c r="C1377" s="57"/>
      <c r="D1377" s="57"/>
      <c r="E1377" s="57"/>
      <c r="F1377" s="57">
        <f t="shared" si="26"/>
        <v>0</v>
      </c>
      <c r="G1377" s="57"/>
      <c r="H1377" s="57"/>
      <c r="I1377" s="57"/>
      <c r="J1377" s="33">
        <f t="shared" si="24"/>
        <v>0</v>
      </c>
      <c r="K1377" s="33">
        <f t="shared" si="25"/>
        <v>0</v>
      </c>
    </row>
    <row r="1378" spans="1:11" x14ac:dyDescent="0.2">
      <c r="A1378" s="70"/>
      <c r="B1378" s="57"/>
      <c r="C1378" s="57"/>
      <c r="D1378" s="57"/>
      <c r="E1378" s="57"/>
      <c r="F1378" s="57">
        <f t="shared" si="26"/>
        <v>0</v>
      </c>
      <c r="G1378" s="57"/>
      <c r="H1378" s="57"/>
      <c r="I1378" s="57"/>
      <c r="J1378" s="33">
        <f t="shared" si="24"/>
        <v>0</v>
      </c>
      <c r="K1378" s="33">
        <f t="shared" si="25"/>
        <v>0</v>
      </c>
    </row>
    <row r="1379" spans="1:11" x14ac:dyDescent="0.2">
      <c r="A1379" s="70"/>
      <c r="B1379" s="57"/>
      <c r="C1379" s="57"/>
      <c r="D1379" s="57"/>
      <c r="E1379" s="57"/>
      <c r="F1379" s="57">
        <f t="shared" si="26"/>
        <v>0</v>
      </c>
      <c r="G1379" s="57"/>
      <c r="H1379" s="57"/>
      <c r="I1379" s="57"/>
      <c r="J1379" s="33">
        <f t="shared" si="24"/>
        <v>0</v>
      </c>
      <c r="K1379" s="33">
        <f t="shared" si="25"/>
        <v>0</v>
      </c>
    </row>
    <row r="1380" spans="1:11" x14ac:dyDescent="0.2">
      <c r="A1380" s="70"/>
      <c r="B1380" s="57"/>
      <c r="C1380" s="57"/>
      <c r="D1380" s="57"/>
      <c r="E1380" s="57"/>
      <c r="F1380" s="57">
        <f t="shared" si="26"/>
        <v>0</v>
      </c>
      <c r="G1380" s="57"/>
      <c r="H1380" s="57"/>
      <c r="I1380" s="57"/>
      <c r="J1380" s="33">
        <f t="shared" si="24"/>
        <v>0</v>
      </c>
      <c r="K1380" s="33">
        <f t="shared" si="25"/>
        <v>0</v>
      </c>
    </row>
    <row r="1381" spans="1:11" x14ac:dyDescent="0.2">
      <c r="A1381" s="70"/>
      <c r="B1381" s="57"/>
      <c r="C1381" s="57"/>
      <c r="D1381" s="57"/>
      <c r="E1381" s="57"/>
      <c r="F1381" s="57">
        <f t="shared" si="26"/>
        <v>0</v>
      </c>
      <c r="G1381" s="57"/>
      <c r="H1381" s="57"/>
      <c r="I1381" s="57"/>
      <c r="J1381" s="33">
        <f t="shared" si="24"/>
        <v>0</v>
      </c>
      <c r="K1381" s="33">
        <f t="shared" si="25"/>
        <v>0</v>
      </c>
    </row>
    <row r="1382" spans="1:11" x14ac:dyDescent="0.2">
      <c r="A1382" s="70"/>
      <c r="B1382" s="57"/>
      <c r="C1382" s="57"/>
      <c r="D1382" s="57"/>
      <c r="E1382" s="57"/>
      <c r="F1382" s="57">
        <f t="shared" si="26"/>
        <v>0</v>
      </c>
      <c r="G1382" s="57"/>
      <c r="H1382" s="57"/>
      <c r="I1382" s="57"/>
      <c r="J1382" s="33">
        <f t="shared" si="24"/>
        <v>0</v>
      </c>
      <c r="K1382" s="33">
        <f t="shared" si="25"/>
        <v>0</v>
      </c>
    </row>
    <row r="1383" spans="1:11" x14ac:dyDescent="0.2">
      <c r="A1383" s="70"/>
      <c r="B1383" s="57"/>
      <c r="C1383" s="57"/>
      <c r="D1383" s="57"/>
      <c r="E1383" s="57"/>
      <c r="F1383" s="57">
        <f t="shared" si="26"/>
        <v>0</v>
      </c>
      <c r="G1383" s="57"/>
      <c r="H1383" s="57"/>
      <c r="I1383" s="57"/>
      <c r="J1383" s="33">
        <f t="shared" si="24"/>
        <v>0</v>
      </c>
      <c r="K1383" s="33">
        <f t="shared" si="25"/>
        <v>0</v>
      </c>
    </row>
    <row r="1384" spans="1:11" x14ac:dyDescent="0.2">
      <c r="A1384" s="70"/>
      <c r="B1384" s="57"/>
      <c r="C1384" s="57"/>
      <c r="D1384" s="57"/>
      <c r="E1384" s="57"/>
      <c r="F1384" s="57">
        <f t="shared" si="26"/>
        <v>0</v>
      </c>
      <c r="G1384" s="57"/>
      <c r="H1384" s="57"/>
      <c r="I1384" s="57"/>
      <c r="J1384" s="33">
        <f t="shared" si="24"/>
        <v>0</v>
      </c>
      <c r="K1384" s="33">
        <f t="shared" si="25"/>
        <v>0</v>
      </c>
    </row>
    <row r="1385" spans="1:11" x14ac:dyDescent="0.2">
      <c r="A1385" s="70"/>
      <c r="B1385" s="57"/>
      <c r="C1385" s="57"/>
      <c r="D1385" s="57"/>
      <c r="E1385" s="57"/>
      <c r="F1385" s="57">
        <f t="shared" si="26"/>
        <v>0</v>
      </c>
      <c r="G1385" s="57"/>
      <c r="H1385" s="57"/>
      <c r="I1385" s="57"/>
      <c r="J1385" s="33">
        <f t="shared" si="24"/>
        <v>0</v>
      </c>
      <c r="K1385" s="33">
        <f t="shared" si="25"/>
        <v>0</v>
      </c>
    </row>
    <row r="1386" spans="1:11" x14ac:dyDescent="0.2">
      <c r="A1386" s="70"/>
      <c r="B1386" s="57"/>
      <c r="C1386" s="57"/>
      <c r="D1386" s="57"/>
      <c r="E1386" s="57"/>
      <c r="F1386" s="57">
        <f t="shared" si="26"/>
        <v>0</v>
      </c>
      <c r="G1386" s="57"/>
      <c r="H1386" s="57"/>
      <c r="I1386" s="57"/>
      <c r="J1386" s="33">
        <f t="shared" si="24"/>
        <v>0</v>
      </c>
      <c r="K1386" s="33">
        <f t="shared" si="25"/>
        <v>0</v>
      </c>
    </row>
    <row r="1387" spans="1:11" x14ac:dyDescent="0.2">
      <c r="A1387" s="70"/>
      <c r="B1387" s="57"/>
      <c r="C1387" s="57"/>
      <c r="D1387" s="57"/>
      <c r="E1387" s="57"/>
      <c r="F1387" s="57">
        <f t="shared" si="26"/>
        <v>0</v>
      </c>
      <c r="G1387" s="57"/>
      <c r="H1387" s="57"/>
      <c r="I1387" s="57"/>
      <c r="J1387" s="33">
        <f t="shared" si="24"/>
        <v>0</v>
      </c>
      <c r="K1387" s="33">
        <f t="shared" si="25"/>
        <v>0</v>
      </c>
    </row>
    <row r="1388" spans="1:11" x14ac:dyDescent="0.2">
      <c r="A1388" s="70"/>
      <c r="B1388" s="57"/>
      <c r="C1388" s="57"/>
      <c r="D1388" s="57"/>
      <c r="E1388" s="57"/>
      <c r="F1388" s="57">
        <f t="shared" si="26"/>
        <v>0</v>
      </c>
      <c r="G1388" s="57"/>
      <c r="H1388" s="57"/>
      <c r="I1388" s="57"/>
      <c r="J1388" s="33">
        <f t="shared" si="24"/>
        <v>0</v>
      </c>
      <c r="K1388" s="33">
        <f t="shared" si="25"/>
        <v>0</v>
      </c>
    </row>
    <row r="1389" spans="1:11" x14ac:dyDescent="0.2">
      <c r="A1389" s="70"/>
      <c r="B1389" s="57"/>
      <c r="C1389" s="57"/>
      <c r="D1389" s="57"/>
      <c r="E1389" s="57"/>
      <c r="F1389" s="57">
        <f t="shared" si="26"/>
        <v>0</v>
      </c>
      <c r="G1389" s="57"/>
      <c r="H1389" s="57"/>
      <c r="I1389" s="57"/>
      <c r="J1389" s="33">
        <f t="shared" si="24"/>
        <v>0</v>
      </c>
      <c r="K1389" s="33">
        <f t="shared" si="25"/>
        <v>0</v>
      </c>
    </row>
    <row r="1390" spans="1:11" x14ac:dyDescent="0.2">
      <c r="A1390" s="70"/>
      <c r="B1390" s="57"/>
      <c r="C1390" s="57"/>
      <c r="D1390" s="57"/>
      <c r="E1390" s="57"/>
      <c r="F1390" s="57">
        <f t="shared" si="26"/>
        <v>0</v>
      </c>
      <c r="G1390" s="57"/>
      <c r="H1390" s="57"/>
      <c r="I1390" s="57"/>
      <c r="J1390" s="33">
        <f t="shared" si="24"/>
        <v>0</v>
      </c>
      <c r="K1390" s="33">
        <f t="shared" si="25"/>
        <v>0</v>
      </c>
    </row>
    <row r="1391" spans="1:11" x14ac:dyDescent="0.2">
      <c r="A1391" s="70"/>
      <c r="B1391" s="57"/>
      <c r="C1391" s="57"/>
      <c r="D1391" s="57"/>
      <c r="E1391" s="57"/>
      <c r="F1391" s="57">
        <f t="shared" si="26"/>
        <v>0</v>
      </c>
      <c r="G1391" s="57"/>
      <c r="H1391" s="57"/>
      <c r="I1391" s="57"/>
      <c r="J1391" s="33">
        <f t="shared" si="24"/>
        <v>0</v>
      </c>
      <c r="K1391" s="33">
        <f t="shared" si="25"/>
        <v>0</v>
      </c>
    </row>
    <row r="1392" spans="1:11" x14ac:dyDescent="0.2">
      <c r="A1392" s="70"/>
      <c r="B1392" s="57"/>
      <c r="C1392" s="57"/>
      <c r="D1392" s="57"/>
      <c r="E1392" s="57"/>
      <c r="F1392" s="57">
        <f t="shared" si="26"/>
        <v>0</v>
      </c>
      <c r="G1392" s="57"/>
      <c r="H1392" s="57"/>
      <c r="I1392" s="57"/>
      <c r="J1392" s="33">
        <f t="shared" si="24"/>
        <v>0</v>
      </c>
      <c r="K1392" s="33">
        <f t="shared" si="25"/>
        <v>0</v>
      </c>
    </row>
    <row r="1393" spans="1:11" x14ac:dyDescent="0.2">
      <c r="A1393" s="70"/>
      <c r="B1393" s="57"/>
      <c r="C1393" s="57"/>
      <c r="D1393" s="57"/>
      <c r="E1393" s="57"/>
      <c r="F1393" s="57">
        <f t="shared" si="26"/>
        <v>0</v>
      </c>
      <c r="G1393" s="57"/>
      <c r="H1393" s="57"/>
      <c r="I1393" s="57"/>
      <c r="J1393" s="33">
        <f t="shared" si="24"/>
        <v>0</v>
      </c>
      <c r="K1393" s="33">
        <f t="shared" si="25"/>
        <v>0</v>
      </c>
    </row>
    <row r="1394" spans="1:11" x14ac:dyDescent="0.2">
      <c r="A1394" s="70"/>
      <c r="B1394" s="57"/>
      <c r="C1394" s="57"/>
      <c r="D1394" s="57"/>
      <c r="E1394" s="57"/>
      <c r="F1394" s="57">
        <f t="shared" si="26"/>
        <v>0</v>
      </c>
      <c r="G1394" s="57"/>
      <c r="H1394" s="57"/>
      <c r="I1394" s="57"/>
      <c r="J1394" s="33">
        <f t="shared" si="24"/>
        <v>0</v>
      </c>
      <c r="K1394" s="33">
        <f t="shared" si="25"/>
        <v>0</v>
      </c>
    </row>
    <row r="1395" spans="1:11" x14ac:dyDescent="0.2">
      <c r="A1395" s="70"/>
      <c r="B1395" s="57"/>
      <c r="C1395" s="57"/>
      <c r="D1395" s="57"/>
      <c r="E1395" s="57"/>
      <c r="F1395" s="57">
        <f t="shared" si="26"/>
        <v>0</v>
      </c>
      <c r="G1395" s="57"/>
      <c r="H1395" s="57"/>
      <c r="I1395" s="57"/>
      <c r="J1395" s="33">
        <f t="shared" si="24"/>
        <v>0</v>
      </c>
      <c r="K1395" s="33">
        <f t="shared" si="25"/>
        <v>0</v>
      </c>
    </row>
    <row r="1396" spans="1:11" x14ac:dyDescent="0.2">
      <c r="A1396" s="70"/>
      <c r="B1396" s="57"/>
      <c r="C1396" s="57"/>
      <c r="D1396" s="57"/>
      <c r="E1396" s="57"/>
      <c r="F1396" s="57">
        <f t="shared" si="26"/>
        <v>0</v>
      </c>
      <c r="G1396" s="57"/>
      <c r="H1396" s="57"/>
      <c r="I1396" s="57"/>
      <c r="J1396" s="33">
        <f t="shared" si="24"/>
        <v>0</v>
      </c>
      <c r="K1396" s="33">
        <f t="shared" si="25"/>
        <v>0</v>
      </c>
    </row>
    <row r="1397" spans="1:11" x14ac:dyDescent="0.2">
      <c r="A1397" s="70"/>
      <c r="B1397" s="57"/>
      <c r="C1397" s="57"/>
      <c r="D1397" s="57"/>
      <c r="E1397" s="57"/>
      <c r="F1397" s="57">
        <f t="shared" si="26"/>
        <v>0</v>
      </c>
      <c r="G1397" s="57"/>
      <c r="H1397" s="57"/>
      <c r="I1397" s="57"/>
      <c r="J1397" s="33">
        <f t="shared" si="24"/>
        <v>0</v>
      </c>
      <c r="K1397" s="33">
        <f t="shared" si="25"/>
        <v>0</v>
      </c>
    </row>
    <row r="1398" spans="1:11" x14ac:dyDescent="0.2">
      <c r="A1398" s="70"/>
      <c r="B1398" s="57"/>
      <c r="C1398" s="57"/>
      <c r="D1398" s="57"/>
      <c r="E1398" s="57"/>
      <c r="F1398" s="57">
        <f t="shared" si="26"/>
        <v>0</v>
      </c>
      <c r="G1398" s="57"/>
      <c r="H1398" s="57"/>
      <c r="I1398" s="57"/>
      <c r="J1398" s="33">
        <f t="shared" si="24"/>
        <v>0</v>
      </c>
      <c r="K1398" s="33">
        <f t="shared" si="25"/>
        <v>0</v>
      </c>
    </row>
    <row r="1399" spans="1:11" x14ac:dyDescent="0.2">
      <c r="A1399" s="70"/>
      <c r="B1399" s="57"/>
      <c r="C1399" s="57"/>
      <c r="D1399" s="57"/>
      <c r="E1399" s="57"/>
      <c r="F1399" s="57">
        <f t="shared" si="26"/>
        <v>0</v>
      </c>
      <c r="G1399" s="57"/>
      <c r="H1399" s="57"/>
      <c r="I1399" s="57"/>
      <c r="J1399" s="33">
        <f t="shared" si="24"/>
        <v>0</v>
      </c>
      <c r="K1399" s="33">
        <f t="shared" si="25"/>
        <v>0</v>
      </c>
    </row>
    <row r="1400" spans="1:11" x14ac:dyDescent="0.2">
      <c r="A1400" s="70"/>
      <c r="B1400" s="57"/>
      <c r="C1400" s="57"/>
      <c r="D1400" s="57"/>
      <c r="E1400" s="57"/>
      <c r="F1400" s="57">
        <f t="shared" si="26"/>
        <v>0</v>
      </c>
      <c r="G1400" s="57"/>
      <c r="H1400" s="57"/>
      <c r="I1400" s="57"/>
      <c r="J1400" s="33">
        <f t="shared" si="24"/>
        <v>0</v>
      </c>
      <c r="K1400" s="33">
        <f t="shared" si="25"/>
        <v>0</v>
      </c>
    </row>
    <row r="1401" spans="1:11" x14ac:dyDescent="0.2">
      <c r="A1401" s="70"/>
      <c r="B1401" s="57"/>
      <c r="C1401" s="57"/>
      <c r="D1401" s="57"/>
      <c r="E1401" s="57"/>
      <c r="F1401" s="57">
        <f t="shared" si="26"/>
        <v>0</v>
      </c>
      <c r="G1401" s="57"/>
      <c r="H1401" s="57"/>
      <c r="I1401" s="57"/>
      <c r="J1401" s="33">
        <f t="shared" si="24"/>
        <v>0</v>
      </c>
      <c r="K1401" s="33">
        <f t="shared" si="25"/>
        <v>0</v>
      </c>
    </row>
    <row r="1402" spans="1:11" x14ac:dyDescent="0.2">
      <c r="A1402" s="70"/>
      <c r="B1402" s="57"/>
      <c r="C1402" s="57"/>
      <c r="D1402" s="57"/>
      <c r="E1402" s="57"/>
      <c r="F1402" s="57">
        <f t="shared" si="26"/>
        <v>0</v>
      </c>
      <c r="G1402" s="57"/>
      <c r="H1402" s="57"/>
      <c r="I1402" s="57"/>
      <c r="J1402" s="33">
        <f t="shared" si="24"/>
        <v>0</v>
      </c>
      <c r="K1402" s="33">
        <f t="shared" si="25"/>
        <v>0</v>
      </c>
    </row>
    <row r="1403" spans="1:11" x14ac:dyDescent="0.2">
      <c r="A1403" s="70"/>
      <c r="B1403" s="57"/>
      <c r="C1403" s="57"/>
      <c r="D1403" s="57"/>
      <c r="E1403" s="57"/>
      <c r="F1403" s="57">
        <f t="shared" si="26"/>
        <v>0</v>
      </c>
      <c r="G1403" s="57"/>
      <c r="H1403" s="57"/>
      <c r="I1403" s="57"/>
      <c r="J1403" s="33">
        <f t="shared" si="24"/>
        <v>0</v>
      </c>
      <c r="K1403" s="33">
        <f t="shared" si="25"/>
        <v>0</v>
      </c>
    </row>
    <row r="1404" spans="1:11" x14ac:dyDescent="0.2">
      <c r="A1404" s="70"/>
      <c r="B1404" s="57"/>
      <c r="C1404" s="57"/>
      <c r="D1404" s="57"/>
      <c r="E1404" s="57"/>
      <c r="F1404" s="57">
        <f t="shared" si="26"/>
        <v>0</v>
      </c>
      <c r="G1404" s="57"/>
      <c r="H1404" s="57"/>
      <c r="I1404" s="57"/>
      <c r="J1404" s="33">
        <f t="shared" si="24"/>
        <v>0</v>
      </c>
      <c r="K1404" s="33">
        <f t="shared" si="25"/>
        <v>0</v>
      </c>
    </row>
    <row r="1405" spans="1:11" x14ac:dyDescent="0.2">
      <c r="A1405" s="70"/>
      <c r="B1405" s="57"/>
      <c r="C1405" s="57"/>
      <c r="D1405" s="57"/>
      <c r="E1405" s="57"/>
      <c r="F1405" s="57">
        <f t="shared" si="26"/>
        <v>0</v>
      </c>
      <c r="G1405" s="57"/>
      <c r="H1405" s="57"/>
      <c r="I1405" s="57"/>
      <c r="J1405" s="33">
        <f t="shared" si="24"/>
        <v>0</v>
      </c>
      <c r="K1405" s="33">
        <f t="shared" si="25"/>
        <v>0</v>
      </c>
    </row>
    <row r="1406" spans="1:11" x14ac:dyDescent="0.2">
      <c r="A1406" s="70"/>
      <c r="B1406" s="57"/>
      <c r="C1406" s="57"/>
      <c r="D1406" s="57"/>
      <c r="E1406" s="57"/>
      <c r="F1406" s="57">
        <f t="shared" si="26"/>
        <v>0</v>
      </c>
      <c r="G1406" s="57"/>
      <c r="H1406" s="57"/>
      <c r="I1406" s="57"/>
      <c r="J1406" s="33">
        <f t="shared" si="24"/>
        <v>0</v>
      </c>
      <c r="K1406" s="33">
        <f t="shared" si="25"/>
        <v>0</v>
      </c>
    </row>
    <row r="1407" spans="1:11" x14ac:dyDescent="0.2">
      <c r="A1407" s="70"/>
      <c r="B1407" s="57"/>
      <c r="C1407" s="57"/>
      <c r="D1407" s="57"/>
      <c r="E1407" s="57"/>
      <c r="F1407" s="57">
        <f t="shared" si="26"/>
        <v>0</v>
      </c>
      <c r="G1407" s="57"/>
      <c r="H1407" s="57"/>
      <c r="I1407" s="57"/>
      <c r="J1407" s="33">
        <f t="shared" si="24"/>
        <v>0</v>
      </c>
      <c r="K1407" s="33">
        <f t="shared" si="25"/>
        <v>0</v>
      </c>
    </row>
    <row r="1408" spans="1:11" x14ac:dyDescent="0.2">
      <c r="A1408" s="70"/>
      <c r="B1408" s="57"/>
      <c r="C1408" s="57"/>
      <c r="D1408" s="57"/>
      <c r="E1408" s="57"/>
      <c r="F1408" s="57">
        <f t="shared" si="26"/>
        <v>0</v>
      </c>
      <c r="G1408" s="57"/>
      <c r="H1408" s="57"/>
      <c r="I1408" s="57"/>
      <c r="J1408" s="33">
        <f t="shared" si="24"/>
        <v>0</v>
      </c>
      <c r="K1408" s="33">
        <f t="shared" si="25"/>
        <v>0</v>
      </c>
    </row>
    <row r="1409" spans="1:11" x14ac:dyDescent="0.2">
      <c r="A1409" s="70"/>
      <c r="B1409" s="57"/>
      <c r="C1409" s="57"/>
      <c r="D1409" s="57"/>
      <c r="E1409" s="57"/>
      <c r="F1409" s="57">
        <f t="shared" si="26"/>
        <v>0</v>
      </c>
      <c r="G1409" s="57"/>
      <c r="H1409" s="57"/>
      <c r="I1409" s="57"/>
      <c r="J1409" s="33">
        <f t="shared" si="24"/>
        <v>0</v>
      </c>
      <c r="K1409" s="33">
        <f t="shared" si="25"/>
        <v>0</v>
      </c>
    </row>
    <row r="1410" spans="1:11" x14ac:dyDescent="0.2">
      <c r="A1410" s="70"/>
      <c r="B1410" s="57"/>
      <c r="C1410" s="57"/>
      <c r="D1410" s="57"/>
      <c r="E1410" s="57"/>
      <c r="F1410" s="57">
        <f t="shared" si="26"/>
        <v>0</v>
      </c>
      <c r="G1410" s="57"/>
      <c r="H1410" s="57"/>
      <c r="I1410" s="57"/>
      <c r="J1410" s="33">
        <f t="shared" si="24"/>
        <v>0</v>
      </c>
      <c r="K1410" s="33">
        <f t="shared" si="25"/>
        <v>0</v>
      </c>
    </row>
    <row r="1411" spans="1:11" x14ac:dyDescent="0.2">
      <c r="A1411" s="70"/>
      <c r="B1411" s="57"/>
      <c r="C1411" s="57"/>
      <c r="D1411" s="57"/>
      <c r="E1411" s="57"/>
      <c r="F1411" s="57">
        <f t="shared" si="26"/>
        <v>0</v>
      </c>
      <c r="G1411" s="57"/>
      <c r="H1411" s="57"/>
      <c r="I1411" s="57"/>
      <c r="J1411" s="33">
        <f t="shared" si="24"/>
        <v>0</v>
      </c>
      <c r="K1411" s="33">
        <f t="shared" si="25"/>
        <v>0</v>
      </c>
    </row>
    <row r="1412" spans="1:11" x14ac:dyDescent="0.2">
      <c r="A1412" s="70"/>
      <c r="B1412" s="57"/>
      <c r="C1412" s="57"/>
      <c r="D1412" s="57"/>
      <c r="E1412" s="57"/>
      <c r="F1412" s="57">
        <f t="shared" si="26"/>
        <v>0</v>
      </c>
      <c r="G1412" s="57"/>
      <c r="H1412" s="57"/>
      <c r="I1412" s="57"/>
      <c r="J1412" s="33">
        <f t="shared" si="24"/>
        <v>0</v>
      </c>
      <c r="K1412" s="33">
        <f t="shared" si="25"/>
        <v>0</v>
      </c>
    </row>
    <row r="1413" spans="1:11" x14ac:dyDescent="0.2">
      <c r="A1413" s="70"/>
      <c r="B1413" s="57"/>
      <c r="C1413" s="57"/>
      <c r="D1413" s="57"/>
      <c r="E1413" s="57"/>
      <c r="F1413" s="57">
        <f t="shared" si="26"/>
        <v>0</v>
      </c>
      <c r="G1413" s="57"/>
      <c r="H1413" s="57"/>
      <c r="I1413" s="57"/>
      <c r="J1413" s="33">
        <f t="shared" si="24"/>
        <v>0</v>
      </c>
      <c r="K1413" s="33">
        <f t="shared" si="25"/>
        <v>0</v>
      </c>
    </row>
    <row r="1414" spans="1:11" x14ac:dyDescent="0.2">
      <c r="A1414" s="70"/>
      <c r="B1414" s="57"/>
      <c r="C1414" s="57"/>
      <c r="D1414" s="57"/>
      <c r="E1414" s="57"/>
      <c r="F1414" s="57">
        <f t="shared" si="26"/>
        <v>0</v>
      </c>
      <c r="G1414" s="57"/>
      <c r="H1414" s="57"/>
      <c r="I1414" s="57"/>
      <c r="J1414" s="33">
        <f t="shared" si="24"/>
        <v>0</v>
      </c>
      <c r="K1414" s="33">
        <f t="shared" si="25"/>
        <v>0</v>
      </c>
    </row>
    <row r="1415" spans="1:11" x14ac:dyDescent="0.2">
      <c r="A1415" s="70"/>
      <c r="B1415" s="57"/>
      <c r="C1415" s="57"/>
      <c r="D1415" s="57"/>
      <c r="E1415" s="57"/>
      <c r="F1415" s="57">
        <f t="shared" si="26"/>
        <v>0</v>
      </c>
      <c r="G1415" s="57"/>
      <c r="H1415" s="57"/>
      <c r="I1415" s="57"/>
      <c r="J1415" s="33">
        <f t="shared" si="24"/>
        <v>0</v>
      </c>
      <c r="K1415" s="33">
        <f t="shared" si="25"/>
        <v>0</v>
      </c>
    </row>
    <row r="1416" spans="1:11" x14ac:dyDescent="0.2">
      <c r="A1416" s="70"/>
      <c r="B1416" s="57"/>
      <c r="C1416" s="57"/>
      <c r="D1416" s="57"/>
      <c r="E1416" s="57"/>
      <c r="F1416" s="57">
        <f t="shared" si="26"/>
        <v>0</v>
      </c>
      <c r="G1416" s="57"/>
      <c r="H1416" s="57"/>
      <c r="I1416" s="57"/>
      <c r="J1416" s="33">
        <f t="shared" si="24"/>
        <v>0</v>
      </c>
      <c r="K1416" s="33">
        <f t="shared" si="25"/>
        <v>0</v>
      </c>
    </row>
    <row r="1417" spans="1:11" x14ac:dyDescent="0.2">
      <c r="A1417" s="70"/>
      <c r="B1417" s="57"/>
      <c r="C1417" s="57"/>
      <c r="D1417" s="57"/>
      <c r="E1417" s="57"/>
      <c r="F1417" s="57">
        <f t="shared" si="26"/>
        <v>0</v>
      </c>
      <c r="G1417" s="57"/>
      <c r="H1417" s="57"/>
      <c r="I1417" s="57"/>
      <c r="J1417" s="33">
        <f t="shared" si="24"/>
        <v>0</v>
      </c>
      <c r="K1417" s="33">
        <f t="shared" si="25"/>
        <v>0</v>
      </c>
    </row>
    <row r="1418" spans="1:11" x14ac:dyDescent="0.2">
      <c r="A1418" s="70"/>
      <c r="B1418" s="57"/>
      <c r="C1418" s="57"/>
      <c r="D1418" s="57"/>
      <c r="E1418" s="57"/>
      <c r="F1418" s="57">
        <f t="shared" si="26"/>
        <v>0</v>
      </c>
      <c r="G1418" s="57"/>
      <c r="H1418" s="57"/>
      <c r="I1418" s="57"/>
      <c r="J1418" s="33">
        <f t="shared" si="24"/>
        <v>0</v>
      </c>
      <c r="K1418" s="33">
        <f t="shared" si="25"/>
        <v>0</v>
      </c>
    </row>
    <row r="1419" spans="1:11" x14ac:dyDescent="0.2">
      <c r="A1419" s="70"/>
      <c r="B1419" s="57"/>
      <c r="C1419" s="57"/>
      <c r="D1419" s="57"/>
      <c r="E1419" s="57"/>
      <c r="F1419" s="57">
        <f t="shared" si="26"/>
        <v>0</v>
      </c>
      <c r="G1419" s="57"/>
      <c r="H1419" s="57"/>
      <c r="I1419" s="57"/>
      <c r="J1419" s="33">
        <f t="shared" si="24"/>
        <v>0</v>
      </c>
      <c r="K1419" s="33">
        <f t="shared" si="25"/>
        <v>0</v>
      </c>
    </row>
    <row r="1420" spans="1:11" x14ac:dyDescent="0.2">
      <c r="A1420" s="70"/>
      <c r="B1420" s="57"/>
      <c r="C1420" s="57"/>
      <c r="D1420" s="57"/>
      <c r="E1420" s="57"/>
      <c r="F1420" s="57">
        <f t="shared" si="26"/>
        <v>0</v>
      </c>
      <c r="G1420" s="57"/>
      <c r="H1420" s="57"/>
      <c r="I1420" s="57"/>
      <c r="J1420" s="33">
        <f t="shared" si="24"/>
        <v>0</v>
      </c>
      <c r="K1420" s="33">
        <f t="shared" si="25"/>
        <v>0</v>
      </c>
    </row>
    <row r="1421" spans="1:11" x14ac:dyDescent="0.2">
      <c r="A1421" s="70"/>
      <c r="B1421" s="57"/>
      <c r="C1421" s="57"/>
      <c r="D1421" s="57"/>
      <c r="E1421" s="57"/>
      <c r="F1421" s="57">
        <f t="shared" si="26"/>
        <v>0</v>
      </c>
      <c r="G1421" s="57"/>
      <c r="H1421" s="57"/>
      <c r="I1421" s="57"/>
      <c r="J1421" s="33">
        <f t="shared" si="24"/>
        <v>0</v>
      </c>
      <c r="K1421" s="33">
        <f t="shared" si="25"/>
        <v>0</v>
      </c>
    </row>
    <row r="1422" spans="1:11" x14ac:dyDescent="0.2">
      <c r="A1422" s="70"/>
      <c r="B1422" s="57"/>
      <c r="C1422" s="57"/>
      <c r="D1422" s="57"/>
      <c r="E1422" s="57"/>
      <c r="F1422" s="57">
        <f t="shared" si="26"/>
        <v>0</v>
      </c>
      <c r="G1422" s="57"/>
      <c r="H1422" s="57"/>
      <c r="I1422" s="57"/>
      <c r="J1422" s="33">
        <f t="shared" si="24"/>
        <v>0</v>
      </c>
      <c r="K1422" s="33">
        <f t="shared" si="25"/>
        <v>0</v>
      </c>
    </row>
    <row r="1423" spans="1:11" x14ac:dyDescent="0.2">
      <c r="A1423" s="70"/>
      <c r="B1423" s="57"/>
      <c r="C1423" s="57"/>
      <c r="D1423" s="57"/>
      <c r="E1423" s="57"/>
      <c r="F1423" s="57">
        <f t="shared" si="26"/>
        <v>0</v>
      </c>
      <c r="G1423" s="57"/>
      <c r="H1423" s="57"/>
      <c r="I1423" s="57"/>
      <c r="J1423" s="33">
        <f t="shared" si="24"/>
        <v>0</v>
      </c>
      <c r="K1423" s="33">
        <f t="shared" si="25"/>
        <v>0</v>
      </c>
    </row>
    <row r="1424" spans="1:11" x14ac:dyDescent="0.2">
      <c r="A1424" s="70"/>
      <c r="B1424" s="57"/>
      <c r="C1424" s="57"/>
      <c r="D1424" s="57"/>
      <c r="E1424" s="57"/>
      <c r="F1424" s="57">
        <f t="shared" si="26"/>
        <v>0</v>
      </c>
      <c r="G1424" s="57"/>
      <c r="H1424" s="57"/>
      <c r="I1424" s="57"/>
      <c r="J1424" s="33">
        <f t="shared" si="24"/>
        <v>0</v>
      </c>
      <c r="K1424" s="33">
        <f t="shared" si="25"/>
        <v>0</v>
      </c>
    </row>
    <row r="1425" spans="1:11" x14ac:dyDescent="0.2">
      <c r="A1425" s="70"/>
      <c r="B1425" s="57"/>
      <c r="C1425" s="57"/>
      <c r="D1425" s="57"/>
      <c r="E1425" s="57"/>
      <c r="F1425" s="57">
        <f t="shared" si="26"/>
        <v>0</v>
      </c>
      <c r="G1425" s="57"/>
      <c r="H1425" s="57"/>
      <c r="I1425" s="57"/>
      <c r="J1425" s="33">
        <f t="shared" si="24"/>
        <v>0</v>
      </c>
      <c r="K1425" s="33">
        <f t="shared" si="25"/>
        <v>0</v>
      </c>
    </row>
    <row r="1426" spans="1:11" x14ac:dyDescent="0.2">
      <c r="A1426" s="70"/>
      <c r="B1426" s="57"/>
      <c r="C1426" s="57"/>
      <c r="D1426" s="57"/>
      <c r="E1426" s="57"/>
      <c r="F1426" s="57">
        <f t="shared" si="26"/>
        <v>0</v>
      </c>
      <c r="G1426" s="57"/>
      <c r="H1426" s="57"/>
      <c r="I1426" s="57"/>
      <c r="J1426" s="33">
        <f t="shared" si="24"/>
        <v>0</v>
      </c>
      <c r="K1426" s="33">
        <f t="shared" si="25"/>
        <v>0</v>
      </c>
    </row>
    <row r="1427" spans="1:11" x14ac:dyDescent="0.2">
      <c r="A1427" s="70"/>
      <c r="B1427" s="57"/>
      <c r="C1427" s="57"/>
      <c r="D1427" s="57"/>
      <c r="E1427" s="57"/>
      <c r="F1427" s="57">
        <f t="shared" si="26"/>
        <v>0</v>
      </c>
      <c r="G1427" s="57"/>
      <c r="H1427" s="57"/>
      <c r="I1427" s="57"/>
      <c r="J1427" s="33">
        <f t="shared" si="24"/>
        <v>0</v>
      </c>
      <c r="K1427" s="33">
        <f t="shared" si="25"/>
        <v>0</v>
      </c>
    </row>
    <row r="1428" spans="1:11" x14ac:dyDescent="0.2">
      <c r="A1428" s="70"/>
      <c r="B1428" s="57"/>
      <c r="C1428" s="57"/>
      <c r="D1428" s="57"/>
      <c r="E1428" s="57"/>
      <c r="F1428" s="57">
        <f t="shared" si="26"/>
        <v>0</v>
      </c>
      <c r="G1428" s="57"/>
      <c r="H1428" s="57"/>
      <c r="I1428" s="57"/>
      <c r="J1428" s="33">
        <f t="shared" si="24"/>
        <v>0</v>
      </c>
      <c r="K1428" s="33">
        <f t="shared" si="25"/>
        <v>0</v>
      </c>
    </row>
    <row r="1429" spans="1:11" x14ac:dyDescent="0.2">
      <c r="A1429" s="70"/>
      <c r="B1429" s="57"/>
      <c r="C1429" s="57"/>
      <c r="D1429" s="57"/>
      <c r="E1429" s="57"/>
      <c r="F1429" s="57">
        <f t="shared" si="26"/>
        <v>0</v>
      </c>
      <c r="G1429" s="57"/>
      <c r="H1429" s="57"/>
      <c r="I1429" s="57"/>
      <c r="J1429" s="33">
        <f t="shared" si="24"/>
        <v>0</v>
      </c>
      <c r="K1429" s="33">
        <f t="shared" si="25"/>
        <v>0</v>
      </c>
    </row>
    <row r="1430" spans="1:11" x14ac:dyDescent="0.2">
      <c r="A1430" s="70"/>
      <c r="B1430" s="57"/>
      <c r="C1430" s="57"/>
      <c r="D1430" s="57"/>
      <c r="E1430" s="57"/>
      <c r="F1430" s="57">
        <f t="shared" si="26"/>
        <v>0</v>
      </c>
      <c r="G1430" s="57"/>
      <c r="H1430" s="57"/>
      <c r="I1430" s="57"/>
      <c r="J1430" s="33">
        <f t="shared" si="24"/>
        <v>0</v>
      </c>
      <c r="K1430" s="33">
        <f t="shared" si="25"/>
        <v>0</v>
      </c>
    </row>
    <row r="1431" spans="1:11" x14ac:dyDescent="0.2">
      <c r="A1431" s="70"/>
      <c r="B1431" s="57"/>
      <c r="C1431" s="57"/>
      <c r="D1431" s="57"/>
      <c r="E1431" s="57"/>
      <c r="F1431" s="57">
        <f t="shared" si="26"/>
        <v>0</v>
      </c>
      <c r="G1431" s="57"/>
      <c r="H1431" s="57"/>
      <c r="I1431" s="57"/>
      <c r="J1431" s="33">
        <f t="shared" si="24"/>
        <v>0</v>
      </c>
      <c r="K1431" s="33">
        <f t="shared" si="25"/>
        <v>0</v>
      </c>
    </row>
    <row r="1432" spans="1:11" x14ac:dyDescent="0.2">
      <c r="A1432" s="70"/>
      <c r="B1432" s="57"/>
      <c r="C1432" s="57"/>
      <c r="D1432" s="57"/>
      <c r="E1432" s="57"/>
      <c r="F1432" s="57">
        <f t="shared" si="26"/>
        <v>0</v>
      </c>
      <c r="G1432" s="57"/>
      <c r="H1432" s="57"/>
      <c r="I1432" s="57"/>
      <c r="J1432" s="33">
        <f t="shared" si="24"/>
        <v>0</v>
      </c>
      <c r="K1432" s="33">
        <f t="shared" si="25"/>
        <v>0</v>
      </c>
    </row>
    <row r="1433" spans="1:11" x14ac:dyDescent="0.2">
      <c r="A1433" s="70"/>
      <c r="B1433" s="57"/>
      <c r="C1433" s="57"/>
      <c r="D1433" s="57"/>
      <c r="E1433" s="57"/>
      <c r="F1433" s="57">
        <f t="shared" si="26"/>
        <v>0</v>
      </c>
      <c r="G1433" s="57"/>
      <c r="H1433" s="57"/>
      <c r="I1433" s="57"/>
      <c r="J1433" s="33">
        <f t="shared" si="24"/>
        <v>0</v>
      </c>
      <c r="K1433" s="33">
        <f t="shared" si="25"/>
        <v>0</v>
      </c>
    </row>
    <row r="1434" spans="1:11" x14ac:dyDescent="0.2">
      <c r="A1434" s="70"/>
      <c r="B1434" s="57"/>
      <c r="C1434" s="57"/>
      <c r="D1434" s="57"/>
      <c r="E1434" s="57"/>
      <c r="F1434" s="57">
        <f t="shared" si="26"/>
        <v>0</v>
      </c>
      <c r="G1434" s="57"/>
      <c r="H1434" s="57"/>
      <c r="I1434" s="57"/>
      <c r="J1434" s="33">
        <f t="shared" si="24"/>
        <v>0</v>
      </c>
      <c r="K1434" s="33">
        <f t="shared" si="25"/>
        <v>0</v>
      </c>
    </row>
    <row r="1435" spans="1:11" x14ac:dyDescent="0.2">
      <c r="A1435" s="70"/>
      <c r="B1435" s="57"/>
      <c r="C1435" s="57"/>
      <c r="D1435" s="57"/>
      <c r="E1435" s="57"/>
      <c r="F1435" s="57">
        <f t="shared" si="26"/>
        <v>0</v>
      </c>
      <c r="G1435" s="57"/>
      <c r="H1435" s="57"/>
      <c r="I1435" s="57"/>
      <c r="J1435" s="33">
        <f t="shared" si="24"/>
        <v>0</v>
      </c>
      <c r="K1435" s="33">
        <f t="shared" si="25"/>
        <v>0</v>
      </c>
    </row>
    <row r="1436" spans="1:11" x14ac:dyDescent="0.2">
      <c r="A1436" s="70"/>
      <c r="B1436" s="57"/>
      <c r="C1436" s="57"/>
      <c r="D1436" s="57"/>
      <c r="E1436" s="57"/>
      <c r="F1436" s="57">
        <f t="shared" si="26"/>
        <v>0</v>
      </c>
      <c r="G1436" s="57"/>
      <c r="H1436" s="57"/>
      <c r="I1436" s="57"/>
      <c r="J1436" s="33">
        <f t="shared" si="24"/>
        <v>0</v>
      </c>
      <c r="K1436" s="33">
        <f t="shared" si="25"/>
        <v>0</v>
      </c>
    </row>
    <row r="1437" spans="1:11" x14ac:dyDescent="0.2">
      <c r="A1437" s="70"/>
      <c r="B1437" s="57"/>
      <c r="C1437" s="57"/>
      <c r="D1437" s="57"/>
      <c r="E1437" s="57"/>
      <c r="F1437" s="57">
        <f t="shared" si="26"/>
        <v>0</v>
      </c>
      <c r="G1437" s="57"/>
      <c r="H1437" s="57"/>
      <c r="I1437" s="57"/>
      <c r="J1437" s="33">
        <f t="shared" si="24"/>
        <v>0</v>
      </c>
      <c r="K1437" s="33">
        <f t="shared" si="25"/>
        <v>0</v>
      </c>
    </row>
    <row r="1438" spans="1:11" x14ac:dyDescent="0.2">
      <c r="A1438" s="70"/>
      <c r="B1438" s="57"/>
      <c r="C1438" s="57"/>
      <c r="D1438" s="57"/>
      <c r="E1438" s="57"/>
      <c r="F1438" s="57">
        <f t="shared" si="26"/>
        <v>0</v>
      </c>
      <c r="G1438" s="57"/>
      <c r="H1438" s="57"/>
      <c r="I1438" s="57"/>
      <c r="J1438" s="33">
        <f t="shared" si="24"/>
        <v>0</v>
      </c>
      <c r="K1438" s="33">
        <f t="shared" si="25"/>
        <v>0</v>
      </c>
    </row>
    <row r="1439" spans="1:11" x14ac:dyDescent="0.2">
      <c r="A1439" s="70"/>
      <c r="B1439" s="57"/>
      <c r="C1439" s="57"/>
      <c r="D1439" s="57"/>
      <c r="E1439" s="57"/>
      <c r="F1439" s="57">
        <f t="shared" si="26"/>
        <v>0</v>
      </c>
      <c r="G1439" s="57"/>
      <c r="H1439" s="57"/>
      <c r="I1439" s="57"/>
      <c r="J1439" s="33">
        <f t="shared" si="24"/>
        <v>0</v>
      </c>
      <c r="K1439" s="33">
        <f t="shared" si="25"/>
        <v>0</v>
      </c>
    </row>
    <row r="1440" spans="1:11" x14ac:dyDescent="0.2">
      <c r="A1440" s="70"/>
      <c r="B1440" s="57"/>
      <c r="C1440" s="57"/>
      <c r="D1440" s="57"/>
      <c r="E1440" s="57"/>
      <c r="F1440" s="57">
        <f t="shared" si="26"/>
        <v>0</v>
      </c>
      <c r="G1440" s="57"/>
      <c r="H1440" s="57"/>
      <c r="I1440" s="57"/>
      <c r="J1440" s="33">
        <f t="shared" si="24"/>
        <v>0</v>
      </c>
      <c r="K1440" s="33">
        <f t="shared" si="25"/>
        <v>0</v>
      </c>
    </row>
    <row r="1441" spans="1:11" x14ac:dyDescent="0.2">
      <c r="A1441" s="70"/>
      <c r="B1441" s="57"/>
      <c r="C1441" s="57"/>
      <c r="D1441" s="57"/>
      <c r="E1441" s="57"/>
      <c r="F1441" s="57">
        <f t="shared" si="26"/>
        <v>0</v>
      </c>
      <c r="G1441" s="57"/>
      <c r="H1441" s="57"/>
      <c r="I1441" s="57"/>
      <c r="J1441" s="33">
        <f t="shared" si="24"/>
        <v>0</v>
      </c>
      <c r="K1441" s="33">
        <f t="shared" si="25"/>
        <v>0</v>
      </c>
    </row>
    <row r="1442" spans="1:11" x14ac:dyDescent="0.2">
      <c r="A1442" s="70"/>
      <c r="B1442" s="57"/>
      <c r="C1442" s="57"/>
      <c r="D1442" s="57"/>
      <c r="E1442" s="57"/>
      <c r="F1442" s="57">
        <f t="shared" si="26"/>
        <v>0</v>
      </c>
      <c r="G1442" s="57"/>
      <c r="H1442" s="57"/>
      <c r="I1442" s="57"/>
      <c r="J1442" s="33">
        <f t="shared" si="24"/>
        <v>0</v>
      </c>
      <c r="K1442" s="33">
        <f t="shared" si="25"/>
        <v>0</v>
      </c>
    </row>
    <row r="1443" spans="1:11" x14ac:dyDescent="0.2">
      <c r="A1443" s="70"/>
      <c r="B1443" s="57"/>
      <c r="C1443" s="57"/>
      <c r="D1443" s="57"/>
      <c r="E1443" s="57"/>
      <c r="F1443" s="57">
        <f t="shared" si="26"/>
        <v>0</v>
      </c>
      <c r="G1443" s="57"/>
      <c r="H1443" s="57"/>
      <c r="I1443" s="57"/>
      <c r="J1443" s="33">
        <f t="shared" si="24"/>
        <v>0</v>
      </c>
      <c r="K1443" s="33">
        <f t="shared" si="25"/>
        <v>0</v>
      </c>
    </row>
    <row r="1444" spans="1:11" x14ac:dyDescent="0.2">
      <c r="A1444" s="70"/>
      <c r="B1444" s="57"/>
      <c r="C1444" s="57"/>
      <c r="D1444" s="57"/>
      <c r="E1444" s="57"/>
      <c r="F1444" s="57">
        <f t="shared" si="26"/>
        <v>0</v>
      </c>
      <c r="G1444" s="57"/>
      <c r="H1444" s="57"/>
      <c r="I1444" s="57"/>
      <c r="J1444" s="33">
        <f t="shared" si="24"/>
        <v>0</v>
      </c>
      <c r="K1444" s="33">
        <f t="shared" si="25"/>
        <v>0</v>
      </c>
    </row>
    <row r="1445" spans="1:11" x14ac:dyDescent="0.2">
      <c r="A1445" s="70"/>
      <c r="B1445" s="57"/>
      <c r="C1445" s="57"/>
      <c r="D1445" s="57"/>
      <c r="E1445" s="57"/>
      <c r="F1445" s="57">
        <f t="shared" si="26"/>
        <v>0</v>
      </c>
      <c r="G1445" s="57"/>
      <c r="H1445" s="57"/>
      <c r="I1445" s="57"/>
      <c r="J1445" s="33">
        <f t="shared" si="24"/>
        <v>0</v>
      </c>
      <c r="K1445" s="33">
        <f t="shared" si="25"/>
        <v>0</v>
      </c>
    </row>
    <row r="1446" spans="1:11" x14ac:dyDescent="0.2">
      <c r="A1446" s="70"/>
      <c r="B1446" s="57"/>
      <c r="C1446" s="57"/>
      <c r="D1446" s="57"/>
      <c r="E1446" s="57"/>
      <c r="F1446" s="57">
        <f t="shared" si="26"/>
        <v>0</v>
      </c>
      <c r="G1446" s="57"/>
      <c r="H1446" s="57"/>
      <c r="I1446" s="57"/>
      <c r="J1446" s="33">
        <f t="shared" si="24"/>
        <v>0</v>
      </c>
      <c r="K1446" s="33">
        <f t="shared" si="25"/>
        <v>0</v>
      </c>
    </row>
    <row r="1447" spans="1:11" x14ac:dyDescent="0.2">
      <c r="A1447" s="70"/>
      <c r="B1447" s="57"/>
      <c r="C1447" s="57"/>
      <c r="D1447" s="57"/>
      <c r="E1447" s="57"/>
      <c r="F1447" s="57">
        <f t="shared" si="26"/>
        <v>0</v>
      </c>
      <c r="G1447" s="57"/>
      <c r="H1447" s="57"/>
      <c r="I1447" s="57"/>
      <c r="J1447" s="33">
        <f t="shared" si="24"/>
        <v>0</v>
      </c>
      <c r="K1447" s="33">
        <f t="shared" si="25"/>
        <v>0</v>
      </c>
    </row>
    <row r="1448" spans="1:11" x14ac:dyDescent="0.2">
      <c r="A1448" s="70"/>
      <c r="B1448" s="57"/>
      <c r="C1448" s="57"/>
      <c r="D1448" s="57"/>
      <c r="E1448" s="57"/>
      <c r="F1448" s="57">
        <f t="shared" si="26"/>
        <v>0</v>
      </c>
      <c r="G1448" s="57"/>
      <c r="H1448" s="57"/>
      <c r="I1448" s="57"/>
      <c r="J1448" s="33">
        <f t="shared" si="24"/>
        <v>0</v>
      </c>
      <c r="K1448" s="33">
        <f t="shared" si="25"/>
        <v>0</v>
      </c>
    </row>
    <row r="1449" spans="1:11" x14ac:dyDescent="0.2">
      <c r="A1449" s="70"/>
      <c r="B1449" s="57"/>
      <c r="C1449" s="57"/>
      <c r="D1449" s="57"/>
      <c r="E1449" s="57"/>
      <c r="F1449" s="57">
        <f t="shared" si="26"/>
        <v>0</v>
      </c>
      <c r="G1449" s="57"/>
      <c r="H1449" s="57"/>
      <c r="I1449" s="57"/>
      <c r="J1449" s="33">
        <f t="shared" si="24"/>
        <v>0</v>
      </c>
      <c r="K1449" s="33">
        <f t="shared" si="25"/>
        <v>0</v>
      </c>
    </row>
    <row r="1450" spans="1:11" x14ac:dyDescent="0.2">
      <c r="A1450" s="70"/>
      <c r="B1450" s="57"/>
      <c r="C1450" s="57"/>
      <c r="D1450" s="57"/>
      <c r="E1450" s="57"/>
      <c r="F1450" s="57">
        <f t="shared" si="26"/>
        <v>0</v>
      </c>
      <c r="G1450" s="57"/>
      <c r="H1450" s="57"/>
      <c r="I1450" s="57"/>
      <c r="J1450" s="33">
        <f t="shared" si="24"/>
        <v>0</v>
      </c>
      <c r="K1450" s="33">
        <f t="shared" si="25"/>
        <v>0</v>
      </c>
    </row>
    <row r="1451" spans="1:11" x14ac:dyDescent="0.2">
      <c r="A1451" s="70"/>
      <c r="B1451" s="57"/>
      <c r="C1451" s="57"/>
      <c r="D1451" s="57"/>
      <c r="E1451" s="57"/>
      <c r="F1451" s="57">
        <f t="shared" si="26"/>
        <v>0</v>
      </c>
      <c r="G1451" s="57"/>
      <c r="H1451" s="57"/>
      <c r="I1451" s="57"/>
      <c r="J1451" s="33">
        <f t="shared" si="24"/>
        <v>0</v>
      </c>
      <c r="K1451" s="33">
        <f t="shared" si="25"/>
        <v>0</v>
      </c>
    </row>
    <row r="1452" spans="1:11" x14ac:dyDescent="0.2">
      <c r="A1452" s="70"/>
      <c r="B1452" s="57"/>
      <c r="C1452" s="57"/>
      <c r="D1452" s="57"/>
      <c r="E1452" s="57"/>
      <c r="F1452" s="57">
        <f t="shared" si="26"/>
        <v>0</v>
      </c>
      <c r="G1452" s="57"/>
      <c r="H1452" s="57"/>
      <c r="I1452" s="57"/>
      <c r="J1452" s="33">
        <f t="shared" si="24"/>
        <v>0</v>
      </c>
      <c r="K1452" s="33">
        <f t="shared" si="25"/>
        <v>0</v>
      </c>
    </row>
    <row r="1453" spans="1:11" x14ac:dyDescent="0.2">
      <c r="A1453" s="70"/>
      <c r="B1453" s="57"/>
      <c r="C1453" s="57"/>
      <c r="D1453" s="57"/>
      <c r="E1453" s="57"/>
      <c r="F1453" s="57">
        <f t="shared" si="26"/>
        <v>0</v>
      </c>
      <c r="G1453" s="57"/>
      <c r="H1453" s="57"/>
      <c r="I1453" s="57"/>
      <c r="J1453" s="33">
        <f t="shared" si="24"/>
        <v>0</v>
      </c>
      <c r="K1453" s="33">
        <f t="shared" si="25"/>
        <v>0</v>
      </c>
    </row>
    <row r="1454" spans="1:11" x14ac:dyDescent="0.2">
      <c r="A1454" s="70"/>
      <c r="B1454" s="57"/>
      <c r="C1454" s="57"/>
      <c r="D1454" s="57"/>
      <c r="E1454" s="57"/>
      <c r="F1454" s="57">
        <f t="shared" si="26"/>
        <v>0</v>
      </c>
      <c r="G1454" s="57"/>
      <c r="H1454" s="57"/>
      <c r="I1454" s="57"/>
      <c r="J1454" s="33">
        <f t="shared" si="24"/>
        <v>0</v>
      </c>
      <c r="K1454" s="33">
        <f t="shared" si="25"/>
        <v>0</v>
      </c>
    </row>
    <row r="1455" spans="1:11" x14ac:dyDescent="0.2">
      <c r="A1455" s="70"/>
      <c r="B1455" s="57"/>
      <c r="C1455" s="57"/>
      <c r="D1455" s="57"/>
      <c r="E1455" s="57"/>
      <c r="F1455" s="57">
        <f t="shared" si="26"/>
        <v>0</v>
      </c>
      <c r="G1455" s="57"/>
      <c r="H1455" s="57"/>
      <c r="I1455" s="57"/>
      <c r="J1455" s="33">
        <f t="shared" si="24"/>
        <v>0</v>
      </c>
      <c r="K1455" s="33">
        <f t="shared" si="25"/>
        <v>0</v>
      </c>
    </row>
    <row r="1456" spans="1:11" x14ac:dyDescent="0.2">
      <c r="A1456" s="70"/>
      <c r="B1456" s="57"/>
      <c r="C1456" s="57"/>
      <c r="D1456" s="57"/>
      <c r="E1456" s="57"/>
      <c r="F1456" s="57">
        <f t="shared" si="26"/>
        <v>0</v>
      </c>
      <c r="G1456" s="57"/>
      <c r="H1456" s="57"/>
      <c r="I1456" s="57"/>
      <c r="J1456" s="33">
        <f t="shared" si="24"/>
        <v>0</v>
      </c>
      <c r="K1456" s="33">
        <f t="shared" si="25"/>
        <v>0</v>
      </c>
    </row>
    <row r="1457" spans="1:11" x14ac:dyDescent="0.2">
      <c r="A1457" s="70"/>
      <c r="B1457" s="57"/>
      <c r="C1457" s="57"/>
      <c r="D1457" s="57"/>
      <c r="E1457" s="57"/>
      <c r="F1457" s="57">
        <f t="shared" si="26"/>
        <v>0</v>
      </c>
      <c r="G1457" s="57"/>
      <c r="H1457" s="57"/>
      <c r="I1457" s="57"/>
      <c r="J1457" s="33">
        <f t="shared" si="24"/>
        <v>0</v>
      </c>
      <c r="K1457" s="33">
        <f t="shared" si="25"/>
        <v>0</v>
      </c>
    </row>
    <row r="1458" spans="1:11" x14ac:dyDescent="0.2">
      <c r="A1458" s="70"/>
      <c r="B1458" s="57"/>
      <c r="C1458" s="57"/>
      <c r="D1458" s="57"/>
      <c r="E1458" s="57"/>
      <c r="F1458" s="57">
        <f t="shared" si="26"/>
        <v>0</v>
      </c>
      <c r="G1458" s="57"/>
      <c r="H1458" s="57"/>
      <c r="I1458" s="57"/>
      <c r="J1458" s="33">
        <f t="shared" si="24"/>
        <v>0</v>
      </c>
      <c r="K1458" s="33">
        <f t="shared" si="25"/>
        <v>0</v>
      </c>
    </row>
    <row r="1459" spans="1:11" x14ac:dyDescent="0.2">
      <c r="A1459" s="70"/>
      <c r="B1459" s="57"/>
      <c r="C1459" s="57"/>
      <c r="D1459" s="57"/>
      <c r="E1459" s="57"/>
      <c r="F1459" s="57">
        <f t="shared" si="26"/>
        <v>0</v>
      </c>
      <c r="G1459" s="57"/>
      <c r="H1459" s="57"/>
      <c r="I1459" s="57"/>
      <c r="J1459" s="33">
        <f t="shared" si="24"/>
        <v>0</v>
      </c>
      <c r="K1459" s="33">
        <f t="shared" si="25"/>
        <v>0</v>
      </c>
    </row>
    <row r="1460" spans="1:11" x14ac:dyDescent="0.2">
      <c r="A1460" s="70"/>
      <c r="B1460" s="57"/>
      <c r="C1460" s="57"/>
      <c r="D1460" s="57"/>
      <c r="E1460" s="57"/>
      <c r="F1460" s="57">
        <f t="shared" si="26"/>
        <v>0</v>
      </c>
      <c r="G1460" s="57"/>
      <c r="H1460" s="57"/>
      <c r="I1460" s="57"/>
      <c r="J1460" s="33">
        <f t="shared" si="24"/>
        <v>0</v>
      </c>
      <c r="K1460" s="33">
        <f t="shared" si="25"/>
        <v>0</v>
      </c>
    </row>
    <row r="1461" spans="1:11" x14ac:dyDescent="0.2">
      <c r="A1461" s="70"/>
      <c r="B1461" s="57"/>
      <c r="C1461" s="57"/>
      <c r="D1461" s="57"/>
      <c r="E1461" s="57"/>
      <c r="F1461" s="57">
        <f t="shared" si="26"/>
        <v>0</v>
      </c>
      <c r="G1461" s="57"/>
      <c r="H1461" s="57"/>
      <c r="I1461" s="57"/>
      <c r="J1461" s="33">
        <f t="shared" si="24"/>
        <v>0</v>
      </c>
      <c r="K1461" s="33">
        <f t="shared" si="25"/>
        <v>0</v>
      </c>
    </row>
    <row r="1462" spans="1:11" x14ac:dyDescent="0.2">
      <c r="A1462" s="70"/>
      <c r="B1462" s="57"/>
      <c r="C1462" s="57"/>
      <c r="D1462" s="57"/>
      <c r="E1462" s="57"/>
      <c r="F1462" s="57">
        <f t="shared" si="26"/>
        <v>0</v>
      </c>
      <c r="G1462" s="57"/>
      <c r="H1462" s="57"/>
      <c r="I1462" s="57"/>
      <c r="J1462" s="33">
        <f t="shared" si="24"/>
        <v>0</v>
      </c>
      <c r="K1462" s="33">
        <f t="shared" si="25"/>
        <v>0</v>
      </c>
    </row>
    <row r="1463" spans="1:11" x14ac:dyDescent="0.2">
      <c r="A1463" s="70"/>
      <c r="B1463" s="57"/>
      <c r="C1463" s="57"/>
      <c r="D1463" s="57"/>
      <c r="E1463" s="57"/>
      <c r="F1463" s="57">
        <f t="shared" si="26"/>
        <v>0</v>
      </c>
      <c r="G1463" s="57"/>
      <c r="H1463" s="57"/>
      <c r="I1463" s="57"/>
      <c r="J1463" s="33">
        <f t="shared" si="24"/>
        <v>0</v>
      </c>
      <c r="K1463" s="33">
        <f t="shared" si="25"/>
        <v>0</v>
      </c>
    </row>
    <row r="1464" spans="1:11" x14ac:dyDescent="0.2">
      <c r="A1464" s="70"/>
      <c r="B1464" s="57"/>
      <c r="C1464" s="57"/>
      <c r="D1464" s="57"/>
      <c r="E1464" s="57"/>
      <c r="F1464" s="57">
        <f t="shared" si="26"/>
        <v>0</v>
      </c>
      <c r="G1464" s="57"/>
      <c r="H1464" s="57"/>
      <c r="I1464" s="57"/>
      <c r="J1464" s="33">
        <f t="shared" si="24"/>
        <v>0</v>
      </c>
      <c r="K1464" s="33">
        <f t="shared" si="25"/>
        <v>0</v>
      </c>
    </row>
    <row r="1465" spans="1:11" x14ac:dyDescent="0.2">
      <c r="A1465" s="70"/>
      <c r="B1465" s="57"/>
      <c r="C1465" s="57"/>
      <c r="D1465" s="57"/>
      <c r="E1465" s="57"/>
      <c r="F1465" s="57">
        <f t="shared" si="26"/>
        <v>0</v>
      </c>
      <c r="G1465" s="57"/>
      <c r="H1465" s="57"/>
      <c r="I1465" s="57"/>
      <c r="J1465" s="33">
        <f t="shared" si="24"/>
        <v>0</v>
      </c>
      <c r="K1465" s="33">
        <f t="shared" si="25"/>
        <v>0</v>
      </c>
    </row>
    <row r="1466" spans="1:11" x14ac:dyDescent="0.2">
      <c r="A1466" s="70"/>
      <c r="B1466" s="57"/>
      <c r="C1466" s="57"/>
      <c r="D1466" s="57"/>
      <c r="E1466" s="57"/>
      <c r="F1466" s="57">
        <f t="shared" si="26"/>
        <v>0</v>
      </c>
      <c r="G1466" s="57"/>
      <c r="H1466" s="57"/>
      <c r="I1466" s="57"/>
      <c r="J1466" s="33">
        <f t="shared" si="24"/>
        <v>0</v>
      </c>
      <c r="K1466" s="33">
        <f t="shared" si="25"/>
        <v>0</v>
      </c>
    </row>
    <row r="1467" spans="1:11" x14ac:dyDescent="0.2">
      <c r="A1467" s="70"/>
      <c r="B1467" s="57"/>
      <c r="C1467" s="57"/>
      <c r="D1467" s="57"/>
      <c r="E1467" s="57"/>
      <c r="F1467" s="57">
        <f t="shared" si="26"/>
        <v>0</v>
      </c>
      <c r="G1467" s="57"/>
      <c r="H1467" s="57"/>
      <c r="I1467" s="57"/>
      <c r="J1467" s="33">
        <f t="shared" si="24"/>
        <v>0</v>
      </c>
      <c r="K1467" s="33">
        <f t="shared" si="25"/>
        <v>0</v>
      </c>
    </row>
    <row r="1468" spans="1:11" x14ac:dyDescent="0.2">
      <c r="A1468" s="70"/>
      <c r="B1468" s="57"/>
      <c r="C1468" s="57"/>
      <c r="D1468" s="57"/>
      <c r="E1468" s="57"/>
      <c r="F1468" s="57">
        <f t="shared" si="26"/>
        <v>0</v>
      </c>
      <c r="G1468" s="57"/>
      <c r="H1468" s="57"/>
      <c r="I1468" s="57"/>
      <c r="J1468" s="33">
        <f t="shared" si="24"/>
        <v>0</v>
      </c>
      <c r="K1468" s="33">
        <f t="shared" si="25"/>
        <v>0</v>
      </c>
    </row>
    <row r="1469" spans="1:11" x14ac:dyDescent="0.2">
      <c r="A1469" s="70"/>
      <c r="B1469" s="57"/>
      <c r="C1469" s="57"/>
      <c r="D1469" s="57"/>
      <c r="E1469" s="57"/>
      <c r="F1469" s="57">
        <f t="shared" si="26"/>
        <v>0</v>
      </c>
      <c r="G1469" s="57"/>
      <c r="H1469" s="57"/>
      <c r="I1469" s="57"/>
      <c r="J1469" s="33">
        <f t="shared" si="24"/>
        <v>0</v>
      </c>
      <c r="K1469" s="33">
        <f t="shared" si="25"/>
        <v>0</v>
      </c>
    </row>
    <row r="1470" spans="1:11" x14ac:dyDescent="0.2">
      <c r="A1470" s="70"/>
      <c r="B1470" s="57"/>
      <c r="C1470" s="57"/>
      <c r="D1470" s="57"/>
      <c r="E1470" s="57"/>
      <c r="F1470" s="57">
        <f t="shared" si="26"/>
        <v>0</v>
      </c>
      <c r="G1470" s="57"/>
      <c r="H1470" s="57"/>
      <c r="I1470" s="57"/>
      <c r="J1470" s="33">
        <f t="shared" si="24"/>
        <v>0</v>
      </c>
      <c r="K1470" s="33">
        <f t="shared" si="25"/>
        <v>0</v>
      </c>
    </row>
    <row r="1471" spans="1:11" x14ac:dyDescent="0.2">
      <c r="A1471" s="70"/>
      <c r="B1471" s="57"/>
      <c r="C1471" s="57"/>
      <c r="D1471" s="57"/>
      <c r="E1471" s="57"/>
      <c r="F1471" s="57">
        <f t="shared" si="26"/>
        <v>0</v>
      </c>
      <c r="G1471" s="57"/>
      <c r="H1471" s="57"/>
      <c r="I1471" s="57"/>
      <c r="J1471" s="33">
        <f t="shared" si="24"/>
        <v>0</v>
      </c>
      <c r="K1471" s="33">
        <f t="shared" si="25"/>
        <v>0</v>
      </c>
    </row>
    <row r="1472" spans="1:11" x14ac:dyDescent="0.2">
      <c r="A1472" s="70"/>
      <c r="B1472" s="57"/>
      <c r="C1472" s="57"/>
      <c r="D1472" s="57"/>
      <c r="E1472" s="57"/>
      <c r="F1472" s="57">
        <f t="shared" si="26"/>
        <v>0</v>
      </c>
      <c r="G1472" s="57"/>
      <c r="H1472" s="57"/>
      <c r="I1472" s="57"/>
      <c r="J1472" s="33">
        <f t="shared" si="24"/>
        <v>0</v>
      </c>
      <c r="K1472" s="33">
        <f t="shared" si="25"/>
        <v>0</v>
      </c>
    </row>
    <row r="1473" spans="1:11" x14ac:dyDescent="0.2">
      <c r="A1473" s="70"/>
      <c r="B1473" s="57"/>
      <c r="C1473" s="57"/>
      <c r="D1473" s="57"/>
      <c r="E1473" s="57"/>
      <c r="F1473" s="57">
        <f t="shared" si="26"/>
        <v>0</v>
      </c>
      <c r="G1473" s="57"/>
      <c r="H1473" s="57"/>
      <c r="I1473" s="57"/>
      <c r="J1473" s="33">
        <f t="shared" si="24"/>
        <v>0</v>
      </c>
      <c r="K1473" s="33">
        <f t="shared" si="25"/>
        <v>0</v>
      </c>
    </row>
    <row r="1474" spans="1:11" x14ac:dyDescent="0.2">
      <c r="A1474" s="70"/>
      <c r="B1474" s="57"/>
      <c r="C1474" s="57"/>
      <c r="D1474" s="57"/>
      <c r="E1474" s="57"/>
      <c r="F1474" s="57">
        <f t="shared" si="26"/>
        <v>0</v>
      </c>
      <c r="G1474" s="57"/>
      <c r="H1474" s="57"/>
      <c r="I1474" s="57"/>
      <c r="J1474" s="33">
        <f t="shared" si="24"/>
        <v>0</v>
      </c>
      <c r="K1474" s="33">
        <f t="shared" si="25"/>
        <v>0</v>
      </c>
    </row>
    <row r="1475" spans="1:11" x14ac:dyDescent="0.2">
      <c r="A1475" s="70"/>
      <c r="B1475" s="57"/>
      <c r="C1475" s="57"/>
      <c r="D1475" s="57"/>
      <c r="E1475" s="57"/>
      <c r="F1475" s="57">
        <f t="shared" si="26"/>
        <v>0</v>
      </c>
      <c r="G1475" s="57"/>
      <c r="H1475" s="57"/>
      <c r="I1475" s="57"/>
      <c r="J1475" s="33">
        <f t="shared" si="24"/>
        <v>0</v>
      </c>
      <c r="K1475" s="33">
        <f t="shared" si="25"/>
        <v>0</v>
      </c>
    </row>
    <row r="1476" spans="1:11" x14ac:dyDescent="0.2">
      <c r="A1476" s="70"/>
      <c r="B1476" s="57"/>
      <c r="C1476" s="57"/>
      <c r="D1476" s="57"/>
      <c r="E1476" s="57"/>
      <c r="F1476" s="57">
        <f t="shared" si="26"/>
        <v>0</v>
      </c>
      <c r="G1476" s="57"/>
      <c r="H1476" s="57"/>
      <c r="I1476" s="57"/>
      <c r="J1476" s="33">
        <f t="shared" si="24"/>
        <v>0</v>
      </c>
      <c r="K1476" s="33">
        <f t="shared" si="25"/>
        <v>0</v>
      </c>
    </row>
    <row r="1477" spans="1:11" x14ac:dyDescent="0.2">
      <c r="A1477" s="70"/>
      <c r="B1477" s="57"/>
      <c r="C1477" s="57"/>
      <c r="D1477" s="57"/>
      <c r="E1477" s="57"/>
      <c r="F1477" s="57">
        <f t="shared" si="26"/>
        <v>0</v>
      </c>
      <c r="G1477" s="57"/>
      <c r="H1477" s="57"/>
      <c r="I1477" s="57"/>
      <c r="J1477" s="33">
        <f t="shared" si="24"/>
        <v>0</v>
      </c>
      <c r="K1477" s="33">
        <f t="shared" si="25"/>
        <v>0</v>
      </c>
    </row>
    <row r="1478" spans="1:11" x14ac:dyDescent="0.2">
      <c r="A1478" s="70"/>
      <c r="B1478" s="57"/>
      <c r="C1478" s="57"/>
      <c r="D1478" s="57"/>
      <c r="E1478" s="57"/>
      <c r="F1478" s="57">
        <f t="shared" si="26"/>
        <v>0</v>
      </c>
      <c r="G1478" s="57"/>
      <c r="H1478" s="57"/>
      <c r="I1478" s="57"/>
      <c r="J1478" s="33">
        <f t="shared" si="24"/>
        <v>0</v>
      </c>
      <c r="K1478" s="33">
        <f t="shared" si="25"/>
        <v>0</v>
      </c>
    </row>
    <row r="1479" spans="1:11" x14ac:dyDescent="0.2">
      <c r="A1479" s="70"/>
      <c r="B1479" s="57"/>
      <c r="C1479" s="57"/>
      <c r="D1479" s="57"/>
      <c r="E1479" s="57"/>
      <c r="F1479" s="57">
        <f t="shared" si="26"/>
        <v>0</v>
      </c>
      <c r="G1479" s="57"/>
      <c r="H1479" s="57"/>
      <c r="I1479" s="57"/>
      <c r="J1479" s="33">
        <f t="shared" si="24"/>
        <v>0</v>
      </c>
      <c r="K1479" s="33">
        <f t="shared" si="25"/>
        <v>0</v>
      </c>
    </row>
    <row r="1480" spans="1:11" x14ac:dyDescent="0.2">
      <c r="A1480" s="70"/>
      <c r="B1480" s="57"/>
      <c r="C1480" s="57"/>
      <c r="D1480" s="57"/>
      <c r="E1480" s="57"/>
      <c r="F1480" s="57">
        <f t="shared" si="26"/>
        <v>0</v>
      </c>
      <c r="G1480" s="57"/>
      <c r="H1480" s="57"/>
      <c r="I1480" s="57"/>
      <c r="J1480" s="33">
        <f t="shared" si="24"/>
        <v>0</v>
      </c>
      <c r="K1480" s="33">
        <f t="shared" si="25"/>
        <v>0</v>
      </c>
    </row>
    <row r="1481" spans="1:11" x14ac:dyDescent="0.2">
      <c r="A1481" s="70"/>
      <c r="B1481" s="57"/>
      <c r="C1481" s="57"/>
      <c r="D1481" s="57"/>
      <c r="E1481" s="57"/>
      <c r="F1481" s="57">
        <f t="shared" si="26"/>
        <v>0</v>
      </c>
      <c r="G1481" s="57"/>
      <c r="H1481" s="57"/>
      <c r="I1481" s="57"/>
      <c r="J1481" s="33">
        <f t="shared" si="24"/>
        <v>0</v>
      </c>
      <c r="K1481" s="33">
        <f t="shared" si="25"/>
        <v>0</v>
      </c>
    </row>
    <row r="1482" spans="1:11" x14ac:dyDescent="0.2">
      <c r="A1482" s="70"/>
      <c r="B1482" s="57"/>
      <c r="C1482" s="57"/>
      <c r="D1482" s="57"/>
      <c r="E1482" s="57"/>
      <c r="F1482" s="57">
        <f t="shared" si="26"/>
        <v>0</v>
      </c>
      <c r="G1482" s="57"/>
      <c r="H1482" s="57"/>
      <c r="I1482" s="57"/>
      <c r="J1482" s="33">
        <f t="shared" si="24"/>
        <v>0</v>
      </c>
      <c r="K1482" s="33">
        <f t="shared" si="25"/>
        <v>0</v>
      </c>
    </row>
    <row r="1483" spans="1:11" x14ac:dyDescent="0.2">
      <c r="A1483" s="70"/>
      <c r="B1483" s="57"/>
      <c r="C1483" s="57"/>
      <c r="D1483" s="57"/>
      <c r="E1483" s="57"/>
      <c r="F1483" s="57">
        <f t="shared" si="26"/>
        <v>0</v>
      </c>
      <c r="G1483" s="57"/>
      <c r="H1483" s="57"/>
      <c r="I1483" s="57"/>
      <c r="J1483" s="33">
        <f t="shared" si="24"/>
        <v>0</v>
      </c>
      <c r="K1483" s="33">
        <f t="shared" si="25"/>
        <v>0</v>
      </c>
    </row>
    <row r="1484" spans="1:11" x14ac:dyDescent="0.2">
      <c r="A1484" s="70"/>
      <c r="B1484" s="57"/>
      <c r="C1484" s="57"/>
      <c r="D1484" s="57"/>
      <c r="E1484" s="57"/>
      <c r="F1484" s="57">
        <f t="shared" si="26"/>
        <v>0</v>
      </c>
      <c r="G1484" s="57"/>
      <c r="H1484" s="57"/>
      <c r="I1484" s="57"/>
      <c r="J1484" s="33">
        <f t="shared" si="24"/>
        <v>0</v>
      </c>
      <c r="K1484" s="33">
        <f t="shared" si="25"/>
        <v>0</v>
      </c>
    </row>
    <row r="1485" spans="1:11" x14ac:dyDescent="0.2">
      <c r="A1485" s="70"/>
      <c r="B1485" s="57"/>
      <c r="C1485" s="57"/>
      <c r="D1485" s="57"/>
      <c r="E1485" s="57"/>
      <c r="F1485" s="57">
        <f t="shared" si="26"/>
        <v>0</v>
      </c>
      <c r="G1485" s="57"/>
      <c r="H1485" s="57"/>
      <c r="I1485" s="57"/>
      <c r="J1485" s="33">
        <f t="shared" si="24"/>
        <v>0</v>
      </c>
      <c r="K1485" s="33">
        <f t="shared" si="25"/>
        <v>0</v>
      </c>
    </row>
    <row r="1486" spans="1:11" x14ac:dyDescent="0.2">
      <c r="A1486" s="70"/>
      <c r="B1486" s="57"/>
      <c r="C1486" s="57"/>
      <c r="D1486" s="57"/>
      <c r="E1486" s="57"/>
      <c r="F1486" s="57">
        <f t="shared" si="26"/>
        <v>0</v>
      </c>
      <c r="G1486" s="57"/>
      <c r="H1486" s="57"/>
      <c r="I1486" s="57"/>
      <c r="J1486" s="33">
        <f t="shared" si="24"/>
        <v>0</v>
      </c>
      <c r="K1486" s="33">
        <f t="shared" si="25"/>
        <v>0</v>
      </c>
    </row>
    <row r="1487" spans="1:11" x14ac:dyDescent="0.2">
      <c r="A1487" s="70"/>
      <c r="B1487" s="57"/>
      <c r="C1487" s="57"/>
      <c r="D1487" s="57"/>
      <c r="E1487" s="57"/>
      <c r="F1487" s="57">
        <f t="shared" si="26"/>
        <v>0</v>
      </c>
      <c r="G1487" s="57"/>
      <c r="H1487" s="57"/>
      <c r="I1487" s="57"/>
      <c r="J1487" s="33">
        <f t="shared" si="24"/>
        <v>0</v>
      </c>
      <c r="K1487" s="33">
        <f t="shared" si="25"/>
        <v>0</v>
      </c>
    </row>
    <row r="1488" spans="1:11" x14ac:dyDescent="0.2">
      <c r="A1488" s="70"/>
      <c r="B1488" s="57"/>
      <c r="C1488" s="57"/>
      <c r="D1488" s="57"/>
      <c r="E1488" s="57"/>
      <c r="F1488" s="57">
        <f t="shared" si="26"/>
        <v>0</v>
      </c>
      <c r="G1488" s="57"/>
      <c r="H1488" s="57"/>
      <c r="I1488" s="57"/>
      <c r="J1488" s="33">
        <f t="shared" si="24"/>
        <v>0</v>
      </c>
      <c r="K1488" s="33">
        <f t="shared" si="25"/>
        <v>0</v>
      </c>
    </row>
    <row r="1489" spans="1:11" x14ac:dyDescent="0.2">
      <c r="A1489" s="70"/>
      <c r="B1489" s="57"/>
      <c r="C1489" s="57"/>
      <c r="D1489" s="57"/>
      <c r="E1489" s="57"/>
      <c r="F1489" s="57">
        <f t="shared" si="26"/>
        <v>0</v>
      </c>
      <c r="G1489" s="57"/>
      <c r="H1489" s="57"/>
      <c r="I1489" s="57"/>
      <c r="J1489" s="33">
        <f t="shared" si="24"/>
        <v>0</v>
      </c>
      <c r="K1489" s="33">
        <f t="shared" si="25"/>
        <v>0</v>
      </c>
    </row>
    <row r="1490" spans="1:11" x14ac:dyDescent="0.2">
      <c r="A1490" s="70"/>
      <c r="B1490" s="57"/>
      <c r="C1490" s="57"/>
      <c r="D1490" s="57"/>
      <c r="E1490" s="57"/>
      <c r="F1490" s="57">
        <f t="shared" si="26"/>
        <v>0</v>
      </c>
      <c r="G1490" s="57"/>
      <c r="H1490" s="57"/>
      <c r="I1490" s="57"/>
      <c r="J1490" s="33">
        <f t="shared" si="24"/>
        <v>0</v>
      </c>
      <c r="K1490" s="33">
        <f t="shared" si="25"/>
        <v>0</v>
      </c>
    </row>
    <row r="1491" spans="1:11" x14ac:dyDescent="0.2">
      <c r="A1491" s="70"/>
      <c r="B1491" s="57"/>
      <c r="C1491" s="57"/>
      <c r="D1491" s="57"/>
      <c r="E1491" s="57"/>
      <c r="F1491" s="57">
        <f t="shared" si="26"/>
        <v>0</v>
      </c>
      <c r="G1491" s="57"/>
      <c r="H1491" s="57"/>
      <c r="I1491" s="57"/>
      <c r="J1491" s="33">
        <f t="shared" si="24"/>
        <v>0</v>
      </c>
      <c r="K1491" s="33">
        <f t="shared" si="25"/>
        <v>0</v>
      </c>
    </row>
    <row r="1492" spans="1:11" x14ac:dyDescent="0.2">
      <c r="A1492" s="70"/>
      <c r="B1492" s="57"/>
      <c r="C1492" s="57"/>
      <c r="D1492" s="57"/>
      <c r="E1492" s="57"/>
      <c r="F1492" s="57">
        <f t="shared" si="26"/>
        <v>0</v>
      </c>
      <c r="G1492" s="57"/>
      <c r="H1492" s="57"/>
      <c r="I1492" s="57"/>
      <c r="J1492" s="33">
        <f t="shared" si="24"/>
        <v>0</v>
      </c>
      <c r="K1492" s="33">
        <f t="shared" si="25"/>
        <v>0</v>
      </c>
    </row>
    <row r="1493" spans="1:11" x14ac:dyDescent="0.2">
      <c r="A1493" s="70"/>
      <c r="B1493" s="57"/>
      <c r="C1493" s="57"/>
      <c r="D1493" s="57"/>
      <c r="E1493" s="57"/>
      <c r="F1493" s="57">
        <f t="shared" si="26"/>
        <v>0</v>
      </c>
      <c r="G1493" s="57"/>
      <c r="H1493" s="57"/>
      <c r="I1493" s="57"/>
      <c r="J1493" s="33">
        <f t="shared" si="24"/>
        <v>0</v>
      </c>
      <c r="K1493" s="33">
        <f t="shared" si="25"/>
        <v>0</v>
      </c>
    </row>
    <row r="1494" spans="1:11" x14ac:dyDescent="0.2">
      <c r="A1494" s="70"/>
      <c r="B1494" s="57"/>
      <c r="C1494" s="57"/>
      <c r="D1494" s="57"/>
      <c r="E1494" s="57"/>
      <c r="F1494" s="57">
        <f t="shared" si="26"/>
        <v>0</v>
      </c>
      <c r="G1494" s="57"/>
      <c r="H1494" s="57"/>
      <c r="I1494" s="57"/>
      <c r="J1494" s="33">
        <f t="shared" si="24"/>
        <v>0</v>
      </c>
      <c r="K1494" s="33">
        <f t="shared" si="25"/>
        <v>0</v>
      </c>
    </row>
    <row r="1495" spans="1:11" x14ac:dyDescent="0.2">
      <c r="A1495" s="70"/>
      <c r="B1495" s="57"/>
      <c r="C1495" s="57"/>
      <c r="D1495" s="57"/>
      <c r="E1495" s="57"/>
      <c r="F1495" s="57">
        <f t="shared" si="26"/>
        <v>0</v>
      </c>
      <c r="G1495" s="57"/>
      <c r="H1495" s="57"/>
      <c r="I1495" s="57"/>
      <c r="J1495" s="33">
        <f t="shared" si="24"/>
        <v>0</v>
      </c>
      <c r="K1495" s="33">
        <f t="shared" si="25"/>
        <v>0</v>
      </c>
    </row>
    <row r="1496" spans="1:11" x14ac:dyDescent="0.2">
      <c r="A1496" s="70"/>
      <c r="B1496" s="57"/>
      <c r="C1496" s="57"/>
      <c r="D1496" s="57"/>
      <c r="E1496" s="57"/>
      <c r="F1496" s="57">
        <f t="shared" si="26"/>
        <v>0</v>
      </c>
      <c r="G1496" s="57"/>
      <c r="H1496" s="57"/>
      <c r="I1496" s="57"/>
      <c r="J1496" s="33">
        <f t="shared" si="24"/>
        <v>0</v>
      </c>
      <c r="K1496" s="33">
        <f t="shared" si="25"/>
        <v>0</v>
      </c>
    </row>
    <row r="1497" spans="1:11" x14ac:dyDescent="0.2">
      <c r="A1497" s="70"/>
      <c r="B1497" s="57"/>
      <c r="C1497" s="57"/>
      <c r="D1497" s="57"/>
      <c r="E1497" s="57"/>
      <c r="F1497" s="57">
        <f t="shared" si="26"/>
        <v>0</v>
      </c>
      <c r="G1497" s="57"/>
      <c r="H1497" s="57"/>
      <c r="I1497" s="57"/>
      <c r="J1497" s="33">
        <f t="shared" si="24"/>
        <v>0</v>
      </c>
      <c r="K1497" s="33">
        <f t="shared" si="25"/>
        <v>0</v>
      </c>
    </row>
    <row r="1498" spans="1:11" x14ac:dyDescent="0.2">
      <c r="A1498" s="70"/>
      <c r="B1498" s="57"/>
      <c r="C1498" s="57"/>
      <c r="D1498" s="57"/>
      <c r="E1498" s="57"/>
      <c r="F1498" s="57">
        <f t="shared" si="26"/>
        <v>0</v>
      </c>
      <c r="G1498" s="57"/>
      <c r="H1498" s="57"/>
      <c r="I1498" s="57"/>
      <c r="J1498" s="33">
        <f t="shared" si="24"/>
        <v>0</v>
      </c>
      <c r="K1498" s="33">
        <f t="shared" si="25"/>
        <v>0</v>
      </c>
    </row>
    <row r="1499" spans="1:11" x14ac:dyDescent="0.2">
      <c r="A1499" s="70"/>
      <c r="B1499" s="57"/>
      <c r="C1499" s="57"/>
      <c r="D1499" s="57"/>
      <c r="E1499" s="57"/>
      <c r="F1499" s="57">
        <f t="shared" si="26"/>
        <v>0</v>
      </c>
      <c r="G1499" s="57"/>
      <c r="H1499" s="57"/>
      <c r="I1499" s="57"/>
      <c r="J1499" s="33">
        <f t="shared" si="24"/>
        <v>0</v>
      </c>
      <c r="K1499" s="33">
        <f t="shared" si="25"/>
        <v>0</v>
      </c>
    </row>
    <row r="1500" spans="1:11" x14ac:dyDescent="0.2">
      <c r="A1500" s="70"/>
      <c r="B1500" s="57"/>
      <c r="C1500" s="57"/>
      <c r="D1500" s="57"/>
      <c r="E1500" s="57"/>
      <c r="F1500" s="57">
        <f t="shared" si="26"/>
        <v>0</v>
      </c>
      <c r="G1500" s="57"/>
      <c r="H1500" s="57"/>
      <c r="I1500" s="57"/>
      <c r="J1500" s="33">
        <f t="shared" si="24"/>
        <v>0</v>
      </c>
      <c r="K1500" s="33">
        <f t="shared" si="25"/>
        <v>0</v>
      </c>
    </row>
    <row r="1501" spans="1:11" x14ac:dyDescent="0.2">
      <c r="A1501" s="70"/>
      <c r="B1501" s="57"/>
      <c r="C1501" s="57"/>
      <c r="D1501" s="57"/>
      <c r="E1501" s="57"/>
      <c r="F1501" s="57">
        <f t="shared" si="26"/>
        <v>0</v>
      </c>
      <c r="G1501" s="57"/>
      <c r="H1501" s="57"/>
      <c r="I1501" s="57"/>
      <c r="J1501" s="33">
        <f t="shared" si="24"/>
        <v>0</v>
      </c>
      <c r="K1501" s="33">
        <f t="shared" si="25"/>
        <v>0</v>
      </c>
    </row>
    <row r="1502" spans="1:11" x14ac:dyDescent="0.2">
      <c r="A1502" s="70"/>
      <c r="B1502" s="57"/>
      <c r="C1502" s="57"/>
      <c r="D1502" s="57"/>
      <c r="E1502" s="57"/>
      <c r="F1502" s="57">
        <f t="shared" si="26"/>
        <v>0</v>
      </c>
      <c r="G1502" s="57"/>
      <c r="H1502" s="57"/>
      <c r="I1502" s="57"/>
      <c r="J1502" s="33">
        <f t="shared" si="24"/>
        <v>0</v>
      </c>
      <c r="K1502" s="33">
        <f t="shared" si="25"/>
        <v>0</v>
      </c>
    </row>
    <row r="1503" spans="1:11" x14ac:dyDescent="0.2">
      <c r="A1503" s="70"/>
      <c r="B1503" s="57"/>
      <c r="C1503" s="57"/>
      <c r="D1503" s="57"/>
      <c r="E1503" s="57"/>
      <c r="F1503" s="57">
        <f t="shared" si="26"/>
        <v>0</v>
      </c>
      <c r="G1503" s="57"/>
      <c r="H1503" s="57"/>
      <c r="I1503" s="57"/>
      <c r="J1503" s="33">
        <f t="shared" si="24"/>
        <v>0</v>
      </c>
      <c r="K1503" s="33">
        <f t="shared" si="25"/>
        <v>0</v>
      </c>
    </row>
    <row r="1504" spans="1:11" x14ac:dyDescent="0.2">
      <c r="A1504" s="70"/>
      <c r="B1504" s="57"/>
      <c r="C1504" s="57"/>
      <c r="D1504" s="57"/>
      <c r="E1504" s="57"/>
      <c r="F1504" s="57">
        <f t="shared" si="26"/>
        <v>0</v>
      </c>
      <c r="G1504" s="57"/>
      <c r="H1504" s="57"/>
      <c r="I1504" s="57"/>
      <c r="J1504" s="33">
        <f t="shared" si="24"/>
        <v>0</v>
      </c>
      <c r="K1504" s="33">
        <f t="shared" si="25"/>
        <v>0</v>
      </c>
    </row>
    <row r="1505" spans="1:11" x14ac:dyDescent="0.2">
      <c r="A1505" s="70"/>
      <c r="B1505" s="57"/>
      <c r="C1505" s="57"/>
      <c r="D1505" s="57"/>
      <c r="E1505" s="57"/>
      <c r="F1505" s="57">
        <f t="shared" si="26"/>
        <v>0</v>
      </c>
      <c r="G1505" s="57"/>
      <c r="H1505" s="57"/>
      <c r="I1505" s="57"/>
      <c r="J1505" s="33">
        <f t="shared" si="24"/>
        <v>0</v>
      </c>
      <c r="K1505" s="33">
        <f t="shared" si="25"/>
        <v>0</v>
      </c>
    </row>
    <row r="1506" spans="1:11" x14ac:dyDescent="0.2">
      <c r="A1506" s="70"/>
      <c r="B1506" s="57"/>
      <c r="C1506" s="57"/>
      <c r="D1506" s="57"/>
      <c r="E1506" s="57"/>
      <c r="F1506" s="57">
        <f t="shared" si="26"/>
        <v>0</v>
      </c>
      <c r="G1506" s="57"/>
      <c r="H1506" s="57"/>
      <c r="I1506" s="57"/>
      <c r="J1506" s="33">
        <f t="shared" si="24"/>
        <v>0</v>
      </c>
      <c r="K1506" s="33">
        <f t="shared" si="25"/>
        <v>0</v>
      </c>
    </row>
    <row r="1507" spans="1:11" x14ac:dyDescent="0.2">
      <c r="A1507" s="70"/>
      <c r="B1507" s="57"/>
      <c r="C1507" s="57"/>
      <c r="D1507" s="57"/>
      <c r="E1507" s="57"/>
      <c r="F1507" s="57">
        <f t="shared" si="26"/>
        <v>0</v>
      </c>
      <c r="G1507" s="57"/>
      <c r="H1507" s="57"/>
      <c r="I1507" s="57"/>
      <c r="J1507" s="33">
        <f t="shared" si="24"/>
        <v>0</v>
      </c>
      <c r="K1507" s="33">
        <f t="shared" si="25"/>
        <v>0</v>
      </c>
    </row>
    <row r="1508" spans="1:11" x14ac:dyDescent="0.2">
      <c r="A1508" s="70"/>
      <c r="B1508" s="57"/>
      <c r="C1508" s="57"/>
      <c r="D1508" s="57"/>
      <c r="E1508" s="57"/>
      <c r="F1508" s="57">
        <f t="shared" si="26"/>
        <v>0</v>
      </c>
      <c r="G1508" s="57"/>
      <c r="H1508" s="57"/>
      <c r="I1508" s="57"/>
      <c r="J1508" s="33">
        <f t="shared" si="24"/>
        <v>0</v>
      </c>
      <c r="K1508" s="33">
        <f t="shared" si="25"/>
        <v>0</v>
      </c>
    </row>
    <row r="1509" spans="1:11" x14ac:dyDescent="0.2">
      <c r="A1509" s="70"/>
      <c r="B1509" s="57"/>
      <c r="C1509" s="57"/>
      <c r="D1509" s="57"/>
      <c r="E1509" s="57"/>
      <c r="F1509" s="57">
        <f t="shared" si="26"/>
        <v>0</v>
      </c>
      <c r="G1509" s="57"/>
      <c r="H1509" s="57"/>
      <c r="I1509" s="57"/>
      <c r="J1509" s="33">
        <f t="shared" si="24"/>
        <v>0</v>
      </c>
      <c r="K1509" s="33">
        <f t="shared" si="25"/>
        <v>0</v>
      </c>
    </row>
    <row r="1510" spans="1:11" x14ac:dyDescent="0.2">
      <c r="A1510" s="70"/>
      <c r="B1510" s="57"/>
      <c r="C1510" s="57"/>
      <c r="D1510" s="57"/>
      <c r="E1510" s="57"/>
      <c r="F1510" s="57">
        <f t="shared" si="26"/>
        <v>0</v>
      </c>
      <c r="G1510" s="57"/>
      <c r="H1510" s="57"/>
      <c r="I1510" s="57"/>
      <c r="J1510" s="33">
        <f t="shared" si="24"/>
        <v>0</v>
      </c>
      <c r="K1510" s="33">
        <f t="shared" si="25"/>
        <v>0</v>
      </c>
    </row>
    <row r="1511" spans="1:11" x14ac:dyDescent="0.2">
      <c r="A1511" s="70"/>
      <c r="B1511" s="57"/>
      <c r="C1511" s="57"/>
      <c r="D1511" s="57"/>
      <c r="E1511" s="57"/>
      <c r="F1511" s="57">
        <f t="shared" si="26"/>
        <v>0</v>
      </c>
      <c r="G1511" s="57"/>
      <c r="H1511" s="57"/>
      <c r="I1511" s="57"/>
      <c r="J1511" s="33">
        <f t="shared" si="24"/>
        <v>0</v>
      </c>
      <c r="K1511" s="33">
        <f t="shared" si="25"/>
        <v>0</v>
      </c>
    </row>
    <row r="1512" spans="1:11" x14ac:dyDescent="0.2">
      <c r="A1512" s="70"/>
      <c r="B1512" s="57"/>
      <c r="C1512" s="57"/>
      <c r="D1512" s="57"/>
      <c r="E1512" s="57"/>
      <c r="F1512" s="57">
        <f t="shared" si="26"/>
        <v>0</v>
      </c>
      <c r="G1512" s="57"/>
      <c r="H1512" s="57"/>
      <c r="I1512" s="57"/>
      <c r="J1512" s="33">
        <f t="shared" si="24"/>
        <v>0</v>
      </c>
      <c r="K1512" s="33">
        <f t="shared" si="25"/>
        <v>0</v>
      </c>
    </row>
    <row r="1513" spans="1:11" x14ac:dyDescent="0.2">
      <c r="A1513" s="70"/>
      <c r="B1513" s="57"/>
      <c r="C1513" s="57"/>
      <c r="D1513" s="57"/>
      <c r="E1513" s="57"/>
      <c r="F1513" s="57">
        <f t="shared" si="26"/>
        <v>0</v>
      </c>
      <c r="G1513" s="57"/>
      <c r="H1513" s="57"/>
      <c r="I1513" s="57"/>
      <c r="K1513" s="33">
        <f t="shared" si="25"/>
        <v>0</v>
      </c>
    </row>
    <row r="1514" spans="1:11" x14ac:dyDescent="0.2">
      <c r="A1514" s="70"/>
      <c r="B1514" s="57"/>
      <c r="C1514" s="57"/>
      <c r="D1514" s="57"/>
      <c r="E1514" s="57"/>
      <c r="F1514" s="57">
        <f t="shared" si="26"/>
        <v>0</v>
      </c>
      <c r="G1514" s="57"/>
      <c r="H1514" s="57"/>
      <c r="I1514" s="57"/>
      <c r="K1514" s="33">
        <f t="shared" si="25"/>
        <v>0</v>
      </c>
    </row>
    <row r="1515" spans="1:11" x14ac:dyDescent="0.2">
      <c r="A1515" s="70"/>
      <c r="B1515" s="57"/>
      <c r="C1515" s="57"/>
      <c r="D1515" s="57"/>
      <c r="E1515" s="57"/>
      <c r="F1515" s="57">
        <f t="shared" si="26"/>
        <v>0</v>
      </c>
      <c r="G1515" s="57"/>
      <c r="H1515" s="57"/>
      <c r="I1515" s="57"/>
      <c r="K1515" s="33">
        <f t="shared" si="25"/>
        <v>0</v>
      </c>
    </row>
    <row r="1516" spans="1:11" x14ac:dyDescent="0.2">
      <c r="A1516" s="70"/>
      <c r="B1516" s="57"/>
      <c r="C1516" s="57"/>
      <c r="D1516" s="57"/>
      <c r="E1516" s="57"/>
      <c r="F1516" s="57">
        <f t="shared" si="26"/>
        <v>0</v>
      </c>
      <c r="G1516" s="57"/>
      <c r="H1516" s="57"/>
      <c r="I1516" s="57"/>
      <c r="K1516" s="33">
        <f t="shared" si="25"/>
        <v>0</v>
      </c>
    </row>
    <row r="1517" spans="1:11" x14ac:dyDescent="0.2">
      <c r="A1517" s="70"/>
      <c r="B1517" s="57"/>
      <c r="C1517" s="57"/>
      <c r="D1517" s="57"/>
      <c r="E1517" s="57"/>
      <c r="F1517" s="57">
        <f t="shared" si="26"/>
        <v>0</v>
      </c>
      <c r="G1517" s="57"/>
      <c r="H1517" s="57"/>
      <c r="I1517" s="57"/>
      <c r="K1517" s="33">
        <f t="shared" si="25"/>
        <v>0</v>
      </c>
    </row>
    <row r="1518" spans="1:11" x14ac:dyDescent="0.2">
      <c r="A1518" s="70"/>
      <c r="B1518" s="57"/>
      <c r="C1518" s="57"/>
      <c r="D1518" s="57"/>
      <c r="E1518" s="57"/>
      <c r="F1518" s="57">
        <f t="shared" si="26"/>
        <v>0</v>
      </c>
      <c r="G1518" s="57"/>
      <c r="H1518" s="57"/>
      <c r="I1518" s="57"/>
      <c r="K1518" s="33">
        <f t="shared" si="25"/>
        <v>0</v>
      </c>
    </row>
    <row r="1519" spans="1:11" x14ac:dyDescent="0.2">
      <c r="A1519" s="70"/>
      <c r="B1519" s="57"/>
      <c r="C1519" s="57"/>
      <c r="D1519" s="57"/>
      <c r="E1519" s="57"/>
      <c r="F1519" s="57">
        <f t="shared" si="26"/>
        <v>0</v>
      </c>
      <c r="G1519" s="57"/>
      <c r="H1519" s="57"/>
      <c r="I1519" s="57"/>
      <c r="K1519" s="33">
        <f t="shared" si="25"/>
        <v>0</v>
      </c>
    </row>
    <row r="1520" spans="1:11" x14ac:dyDescent="0.2">
      <c r="A1520" s="70"/>
      <c r="B1520" s="57"/>
      <c r="C1520" s="57"/>
      <c r="D1520" s="57"/>
      <c r="E1520" s="57"/>
      <c r="F1520" s="57">
        <f t="shared" si="26"/>
        <v>0</v>
      </c>
      <c r="G1520" s="57"/>
      <c r="H1520" s="57"/>
      <c r="I1520" s="57"/>
      <c r="K1520" s="33">
        <f t="shared" si="25"/>
        <v>0</v>
      </c>
    </row>
    <row r="1521" spans="1:11" x14ac:dyDescent="0.2">
      <c r="A1521" s="70"/>
      <c r="B1521" s="57"/>
      <c r="C1521" s="57"/>
      <c r="D1521" s="57"/>
      <c r="E1521" s="57"/>
      <c r="F1521" s="57">
        <f t="shared" si="26"/>
        <v>0</v>
      </c>
      <c r="G1521" s="57"/>
      <c r="H1521" s="57"/>
      <c r="I1521" s="57"/>
      <c r="K1521" s="33">
        <f t="shared" si="25"/>
        <v>0</v>
      </c>
    </row>
    <row r="1522" spans="1:11" x14ac:dyDescent="0.2">
      <c r="A1522" s="70"/>
      <c r="B1522" s="57"/>
      <c r="C1522" s="57"/>
      <c r="D1522" s="57"/>
      <c r="E1522" s="57"/>
      <c r="F1522" s="57">
        <f t="shared" si="26"/>
        <v>0</v>
      </c>
      <c r="G1522" s="57"/>
      <c r="H1522" s="57"/>
      <c r="I1522" s="57"/>
      <c r="K1522" s="33">
        <f t="shared" si="25"/>
        <v>0</v>
      </c>
    </row>
    <row r="1523" spans="1:11" x14ac:dyDescent="0.2">
      <c r="A1523" s="70"/>
      <c r="B1523" s="57"/>
      <c r="C1523" s="57"/>
      <c r="D1523" s="57"/>
      <c r="E1523" s="57"/>
      <c r="F1523" s="57">
        <f t="shared" si="26"/>
        <v>0</v>
      </c>
      <c r="G1523" s="57"/>
      <c r="H1523" s="57"/>
      <c r="I1523" s="57"/>
      <c r="K1523" s="33">
        <f t="shared" si="25"/>
        <v>0</v>
      </c>
    </row>
    <row r="1524" spans="1:11" x14ac:dyDescent="0.2">
      <c r="A1524" s="70"/>
      <c r="B1524" s="57"/>
      <c r="C1524" s="57"/>
      <c r="D1524" s="57"/>
      <c r="E1524" s="57"/>
      <c r="F1524" s="57">
        <f t="shared" si="26"/>
        <v>0</v>
      </c>
      <c r="G1524" s="57"/>
      <c r="H1524" s="57"/>
      <c r="I1524" s="57"/>
      <c r="K1524" s="33">
        <f t="shared" si="25"/>
        <v>0</v>
      </c>
    </row>
    <row r="1525" spans="1:11" x14ac:dyDescent="0.2">
      <c r="A1525" s="70"/>
      <c r="B1525" s="57"/>
      <c r="C1525" s="57"/>
      <c r="D1525" s="57"/>
      <c r="E1525" s="57"/>
      <c r="F1525" s="57">
        <f t="shared" si="26"/>
        <v>0</v>
      </c>
      <c r="G1525" s="57"/>
      <c r="H1525" s="57"/>
      <c r="I1525" s="57"/>
      <c r="K1525" s="33">
        <f t="shared" si="25"/>
        <v>0</v>
      </c>
    </row>
    <row r="1526" spans="1:11" x14ac:dyDescent="0.2">
      <c r="A1526" s="70"/>
      <c r="B1526" s="57"/>
      <c r="C1526" s="57"/>
      <c r="D1526" s="57"/>
      <c r="E1526" s="57"/>
      <c r="F1526" s="57">
        <f t="shared" si="26"/>
        <v>0</v>
      </c>
      <c r="G1526" s="57"/>
      <c r="H1526" s="57"/>
      <c r="I1526" s="57"/>
      <c r="K1526" s="33">
        <f t="shared" si="25"/>
        <v>0</v>
      </c>
    </row>
    <row r="1527" spans="1:11" x14ac:dyDescent="0.2">
      <c r="A1527" s="70"/>
      <c r="B1527" s="57"/>
      <c r="C1527" s="57"/>
      <c r="D1527" s="57"/>
      <c r="E1527" s="57"/>
      <c r="F1527" s="57"/>
      <c r="G1527" s="57"/>
      <c r="H1527" s="57"/>
      <c r="I1527" s="57"/>
      <c r="K1527" s="33">
        <f t="shared" si="25"/>
        <v>0</v>
      </c>
    </row>
    <row r="1528" spans="1:11" x14ac:dyDescent="0.2">
      <c r="A1528" s="70"/>
      <c r="B1528" s="57"/>
      <c r="C1528" s="57"/>
      <c r="D1528" s="57"/>
      <c r="E1528" s="57"/>
      <c r="F1528" s="57"/>
      <c r="G1528" s="57"/>
      <c r="H1528" s="57"/>
      <c r="I1528" s="57"/>
      <c r="K1528" s="33">
        <f t="shared" si="25"/>
        <v>0</v>
      </c>
    </row>
    <row r="1529" spans="1:11" x14ac:dyDescent="0.2">
      <c r="A1529" s="70"/>
      <c r="B1529" s="57"/>
      <c r="C1529" s="57"/>
      <c r="D1529" s="57"/>
      <c r="E1529" s="57"/>
      <c r="F1529" s="57"/>
      <c r="G1529" s="57"/>
      <c r="H1529" s="57"/>
      <c r="I1529" s="57"/>
      <c r="K1529" s="33">
        <f t="shared" si="25"/>
        <v>0</v>
      </c>
    </row>
    <row r="1530" spans="1:11" x14ac:dyDescent="0.2">
      <c r="A1530" s="70"/>
      <c r="B1530" s="57"/>
      <c r="C1530" s="57"/>
      <c r="D1530" s="57"/>
      <c r="E1530" s="57"/>
      <c r="F1530" s="57"/>
      <c r="G1530" s="57"/>
      <c r="H1530" s="57"/>
      <c r="I1530" s="57"/>
      <c r="K1530" s="33">
        <f t="shared" si="25"/>
        <v>0</v>
      </c>
    </row>
    <row r="1531" spans="1:11" x14ac:dyDescent="0.2">
      <c r="A1531" s="70"/>
      <c r="B1531" s="57"/>
      <c r="C1531" s="57"/>
      <c r="D1531" s="57"/>
      <c r="E1531" s="57"/>
      <c r="F1531" s="57"/>
      <c r="G1531" s="57"/>
      <c r="H1531" s="57"/>
      <c r="I1531" s="57"/>
      <c r="K1531" s="33">
        <f t="shared" si="25"/>
        <v>0</v>
      </c>
    </row>
    <row r="1532" spans="1:11" x14ac:dyDescent="0.2">
      <c r="A1532" s="70"/>
      <c r="B1532" s="57"/>
      <c r="C1532" s="57"/>
      <c r="D1532" s="57"/>
      <c r="E1532" s="57"/>
      <c r="F1532" s="57"/>
      <c r="G1532" s="57"/>
      <c r="H1532" s="57"/>
      <c r="I1532" s="57"/>
    </row>
    <row r="1533" spans="1:11" x14ac:dyDescent="0.2">
      <c r="A1533" s="70"/>
      <c r="B1533" s="57"/>
      <c r="C1533" s="57"/>
      <c r="D1533" s="57"/>
      <c r="E1533" s="57"/>
      <c r="F1533" s="57"/>
      <c r="G1533" s="57"/>
      <c r="H1533" s="57"/>
      <c r="I1533" s="57"/>
    </row>
    <row r="1534" spans="1:11" x14ac:dyDescent="0.2">
      <c r="A1534" s="70"/>
      <c r="B1534" s="57"/>
      <c r="C1534" s="57"/>
      <c r="D1534" s="57"/>
      <c r="E1534" s="57"/>
      <c r="F1534" s="57"/>
      <c r="G1534" s="57"/>
      <c r="H1534" s="57"/>
      <c r="I1534" s="57"/>
    </row>
    <row r="1535" spans="1:11" x14ac:dyDescent="0.2">
      <c r="A1535" s="70"/>
      <c r="B1535" s="57"/>
      <c r="C1535" s="57"/>
      <c r="D1535" s="57"/>
      <c r="E1535" s="57"/>
      <c r="F1535" s="57"/>
      <c r="G1535" s="57"/>
      <c r="H1535" s="57"/>
      <c r="I1535" s="57"/>
    </row>
    <row r="1536" spans="1:11" x14ac:dyDescent="0.2">
      <c r="A1536" s="70"/>
      <c r="B1536" s="57"/>
      <c r="C1536" s="57"/>
      <c r="D1536" s="57"/>
      <c r="E1536" s="57"/>
      <c r="F1536" s="57"/>
      <c r="G1536" s="57"/>
      <c r="H1536" s="57"/>
      <c r="I1536" s="57"/>
    </row>
    <row r="1537" spans="1:9" x14ac:dyDescent="0.2">
      <c r="A1537" s="70"/>
      <c r="B1537" s="57"/>
      <c r="C1537" s="57"/>
      <c r="D1537" s="57"/>
      <c r="E1537" s="57"/>
      <c r="F1537" s="57"/>
      <c r="G1537" s="57"/>
      <c r="H1537" s="57"/>
      <c r="I1537" s="57"/>
    </row>
    <row r="1538" spans="1:9" x14ac:dyDescent="0.2">
      <c r="A1538" s="70"/>
      <c r="B1538" s="57"/>
      <c r="C1538" s="57"/>
      <c r="D1538" s="57"/>
      <c r="E1538" s="57"/>
      <c r="F1538" s="57"/>
      <c r="G1538" s="57"/>
      <c r="H1538" s="57"/>
      <c r="I1538" s="57"/>
    </row>
    <row r="1539" spans="1:9" x14ac:dyDescent="0.2">
      <c r="A1539" s="70"/>
      <c r="B1539" s="57"/>
      <c r="C1539" s="57"/>
      <c r="D1539" s="57"/>
      <c r="E1539" s="57"/>
      <c r="F1539" s="57"/>
      <c r="G1539" s="57"/>
      <c r="H1539" s="57"/>
      <c r="I1539" s="57"/>
    </row>
    <row r="1540" spans="1:9" x14ac:dyDescent="0.2">
      <c r="A1540" s="70"/>
      <c r="B1540" s="57"/>
      <c r="C1540" s="57"/>
      <c r="D1540" s="57"/>
      <c r="E1540" s="57"/>
      <c r="F1540" s="57"/>
      <c r="G1540" s="57"/>
      <c r="H1540" s="57"/>
      <c r="I1540" s="57"/>
    </row>
    <row r="1541" spans="1:9" x14ac:dyDescent="0.2">
      <c r="A1541" s="70"/>
      <c r="B1541" s="57"/>
      <c r="C1541" s="57"/>
      <c r="D1541" s="57"/>
      <c r="E1541" s="57"/>
      <c r="F1541" s="57"/>
      <c r="G1541" s="57"/>
      <c r="H1541" s="57"/>
      <c r="I1541" s="57"/>
    </row>
    <row r="1542" spans="1:9" x14ac:dyDescent="0.2">
      <c r="A1542" s="70"/>
      <c r="B1542" s="57"/>
      <c r="C1542" s="57"/>
      <c r="D1542" s="57"/>
      <c r="E1542" s="57"/>
      <c r="F1542" s="57"/>
      <c r="G1542" s="57"/>
      <c r="H1542" s="57"/>
      <c r="I1542" s="57"/>
    </row>
    <row r="1543" spans="1:9" x14ac:dyDescent="0.2">
      <c r="A1543" s="70"/>
      <c r="B1543" s="57"/>
      <c r="C1543" s="57"/>
      <c r="D1543" s="57"/>
      <c r="E1543" s="57"/>
      <c r="F1543" s="57"/>
      <c r="G1543" s="57"/>
      <c r="H1543" s="57"/>
      <c r="I1543" s="57"/>
    </row>
    <row r="1544" spans="1:9" x14ac:dyDescent="0.2">
      <c r="A1544" s="70"/>
      <c r="B1544" s="57"/>
      <c r="C1544" s="57"/>
      <c r="D1544" s="57"/>
      <c r="E1544" s="57"/>
      <c r="F1544" s="57"/>
      <c r="G1544" s="57"/>
      <c r="H1544" s="57"/>
      <c r="I1544" s="57"/>
    </row>
    <row r="1545" spans="1:9" x14ac:dyDescent="0.2">
      <c r="A1545" s="70"/>
      <c r="B1545" s="57"/>
      <c r="C1545" s="57"/>
      <c r="D1545" s="57"/>
      <c r="E1545" s="57"/>
      <c r="F1545" s="57"/>
      <c r="G1545" s="57"/>
      <c r="H1545" s="57"/>
      <c r="I1545" s="57"/>
    </row>
    <row r="1546" spans="1:9" x14ac:dyDescent="0.2">
      <c r="A1546" s="70"/>
      <c r="B1546" s="57"/>
      <c r="C1546" s="57"/>
      <c r="D1546" s="57"/>
      <c r="E1546" s="57"/>
      <c r="F1546" s="57"/>
      <c r="G1546" s="57"/>
      <c r="H1546" s="57"/>
      <c r="I1546" s="57"/>
    </row>
    <row r="1547" spans="1:9" x14ac:dyDescent="0.2">
      <c r="A1547" s="70"/>
      <c r="B1547" s="57"/>
      <c r="C1547" s="57"/>
      <c r="D1547" s="57"/>
      <c r="E1547" s="57"/>
      <c r="F1547" s="57"/>
      <c r="G1547" s="57"/>
      <c r="H1547" s="57"/>
      <c r="I1547" s="57"/>
    </row>
    <row r="1548" spans="1:9" x14ac:dyDescent="0.2">
      <c r="A1548" s="70"/>
      <c r="B1548" s="57"/>
      <c r="C1548" s="57"/>
      <c r="D1548" s="57"/>
      <c r="E1548" s="57"/>
      <c r="F1548" s="57"/>
      <c r="G1548" s="57"/>
      <c r="H1548" s="57"/>
      <c r="I1548" s="57"/>
    </row>
    <row r="1549" spans="1:9" x14ac:dyDescent="0.2">
      <c r="A1549" s="70"/>
      <c r="B1549" s="57"/>
      <c r="C1549" s="57"/>
      <c r="D1549" s="57"/>
      <c r="E1549" s="57"/>
      <c r="F1549" s="57"/>
      <c r="G1549" s="57"/>
      <c r="H1549" s="57"/>
      <c r="I1549" s="57"/>
    </row>
    <row r="1550" spans="1:9" x14ac:dyDescent="0.2">
      <c r="A1550" s="70"/>
      <c r="B1550" s="57"/>
      <c r="C1550" s="57"/>
      <c r="D1550" s="57"/>
      <c r="E1550" s="57"/>
      <c r="F1550" s="57"/>
      <c r="G1550" s="57"/>
      <c r="H1550" s="57"/>
      <c r="I1550" s="57"/>
    </row>
    <row r="1551" spans="1:9" x14ac:dyDescent="0.2">
      <c r="A1551" s="70"/>
      <c r="B1551" s="57"/>
      <c r="C1551" s="57"/>
      <c r="D1551" s="57"/>
      <c r="E1551" s="57"/>
      <c r="F1551" s="57"/>
      <c r="G1551" s="57"/>
      <c r="H1551" s="57"/>
      <c r="I1551" s="57"/>
    </row>
    <row r="1552" spans="1:9" x14ac:dyDescent="0.2">
      <c r="A1552" s="70"/>
      <c r="B1552" s="57"/>
      <c r="C1552" s="57"/>
      <c r="D1552" s="57"/>
      <c r="E1552" s="57"/>
      <c r="F1552" s="57"/>
      <c r="G1552" s="57"/>
      <c r="H1552" s="57"/>
      <c r="I1552" s="57"/>
    </row>
    <row r="1553" spans="1:9" x14ac:dyDescent="0.2">
      <c r="A1553" s="70"/>
      <c r="B1553" s="57"/>
      <c r="C1553" s="57"/>
      <c r="D1553" s="57"/>
      <c r="E1553" s="57"/>
      <c r="F1553" s="57"/>
      <c r="G1553" s="57"/>
      <c r="H1553" s="57"/>
      <c r="I1553" s="57"/>
    </row>
    <row r="1554" spans="1:9" x14ac:dyDescent="0.2">
      <c r="A1554" s="70"/>
      <c r="B1554" s="57"/>
      <c r="C1554" s="57"/>
      <c r="D1554" s="57"/>
      <c r="E1554" s="57"/>
      <c r="F1554" s="57"/>
      <c r="G1554" s="57"/>
      <c r="H1554" s="57"/>
      <c r="I1554" s="57"/>
    </row>
    <row r="1555" spans="1:9" x14ac:dyDescent="0.2">
      <c r="A1555" s="70"/>
      <c r="B1555" s="57"/>
      <c r="C1555" s="57"/>
      <c r="D1555" s="57"/>
      <c r="E1555" s="57"/>
      <c r="F1555" s="57"/>
      <c r="G1555" s="57"/>
      <c r="H1555" s="57"/>
      <c r="I1555" s="57"/>
    </row>
    <row r="1556" spans="1:9" x14ac:dyDescent="0.2">
      <c r="A1556" s="70"/>
      <c r="B1556" s="57"/>
      <c r="C1556" s="57"/>
      <c r="D1556" s="57"/>
      <c r="E1556" s="57"/>
      <c r="F1556" s="57"/>
      <c r="G1556" s="57"/>
      <c r="H1556" s="57"/>
      <c r="I1556" s="57"/>
    </row>
    <row r="1557" spans="1:9" x14ac:dyDescent="0.2">
      <c r="A1557" s="70"/>
      <c r="B1557" s="57"/>
      <c r="C1557" s="57"/>
      <c r="D1557" s="57"/>
      <c r="E1557" s="57"/>
      <c r="F1557" s="57"/>
      <c r="G1557" s="57"/>
      <c r="H1557" s="57"/>
      <c r="I1557" s="57"/>
    </row>
    <row r="1558" spans="1:9" x14ac:dyDescent="0.2">
      <c r="A1558" s="70"/>
      <c r="B1558" s="57"/>
      <c r="C1558" s="57"/>
      <c r="D1558" s="57"/>
      <c r="E1558" s="57"/>
      <c r="F1558" s="57"/>
      <c r="G1558" s="57"/>
      <c r="H1558" s="57"/>
      <c r="I1558" s="57"/>
    </row>
    <row r="1559" spans="1:9" x14ac:dyDescent="0.2">
      <c r="A1559" s="70"/>
      <c r="B1559" s="57"/>
      <c r="C1559" s="57"/>
      <c r="D1559" s="57"/>
      <c r="E1559" s="57"/>
      <c r="F1559" s="57"/>
      <c r="G1559" s="57"/>
      <c r="H1559" s="57"/>
      <c r="I1559" s="57"/>
    </row>
    <row r="1560" spans="1:9" x14ac:dyDescent="0.2">
      <c r="A1560" s="70"/>
      <c r="B1560" s="57"/>
      <c r="C1560" s="57"/>
      <c r="D1560" s="57"/>
      <c r="E1560" s="57"/>
      <c r="F1560" s="57"/>
      <c r="G1560" s="57"/>
      <c r="H1560" s="57"/>
      <c r="I1560" s="57"/>
    </row>
    <row r="1561" spans="1:9" x14ac:dyDescent="0.2">
      <c r="A1561" s="70"/>
      <c r="B1561" s="57"/>
      <c r="C1561" s="57"/>
      <c r="D1561" s="57"/>
      <c r="E1561" s="57"/>
      <c r="F1561" s="57"/>
      <c r="G1561" s="57"/>
      <c r="H1561" s="57"/>
      <c r="I1561" s="57"/>
    </row>
    <row r="1562" spans="1:9" x14ac:dyDescent="0.2">
      <c r="A1562" s="70"/>
      <c r="B1562" s="57"/>
      <c r="C1562" s="57"/>
      <c r="D1562" s="57"/>
      <c r="E1562" s="57"/>
      <c r="F1562" s="57"/>
      <c r="G1562" s="57"/>
      <c r="H1562" s="57"/>
      <c r="I1562" s="57"/>
    </row>
    <row r="1563" spans="1:9" x14ac:dyDescent="0.2">
      <c r="A1563" s="70"/>
      <c r="B1563" s="57"/>
      <c r="C1563" s="57"/>
      <c r="D1563" s="57"/>
      <c r="E1563" s="57"/>
      <c r="F1563" s="57"/>
      <c r="G1563" s="57"/>
      <c r="H1563" s="57"/>
      <c r="I1563" s="57"/>
    </row>
    <row r="1564" spans="1:9" x14ac:dyDescent="0.2">
      <c r="A1564" s="70"/>
      <c r="B1564" s="57"/>
      <c r="C1564" s="57"/>
      <c r="D1564" s="57"/>
      <c r="E1564" s="57"/>
      <c r="F1564" s="57"/>
      <c r="G1564" s="57"/>
      <c r="H1564" s="57"/>
      <c r="I1564" s="57"/>
    </row>
    <row r="1565" spans="1:9" x14ac:dyDescent="0.2">
      <c r="A1565" s="70"/>
      <c r="B1565" s="57"/>
      <c r="C1565" s="57"/>
      <c r="D1565" s="57"/>
      <c r="E1565" s="57"/>
      <c r="F1565" s="57"/>
      <c r="G1565" s="57"/>
      <c r="H1565" s="57"/>
      <c r="I1565" s="57"/>
    </row>
    <row r="1566" spans="1:9" x14ac:dyDescent="0.2">
      <c r="A1566" s="70"/>
      <c r="B1566" s="57"/>
      <c r="C1566" s="57"/>
      <c r="D1566" s="57"/>
      <c r="E1566" s="57"/>
      <c r="F1566" s="57"/>
      <c r="G1566" s="57"/>
      <c r="H1566" s="57"/>
      <c r="I1566" s="57"/>
    </row>
    <row r="1567" spans="1:9" x14ac:dyDescent="0.2">
      <c r="A1567" s="70"/>
      <c r="B1567" s="57"/>
      <c r="C1567" s="57"/>
      <c r="D1567" s="57"/>
      <c r="E1567" s="57"/>
      <c r="F1567" s="57"/>
      <c r="G1567" s="57"/>
      <c r="H1567" s="57"/>
      <c r="I1567" s="57"/>
    </row>
    <row r="1568" spans="1:9" x14ac:dyDescent="0.2">
      <c r="A1568" s="70"/>
      <c r="B1568" s="57"/>
      <c r="C1568" s="57"/>
      <c r="D1568" s="57"/>
      <c r="E1568" s="57"/>
      <c r="F1568" s="57"/>
      <c r="G1568" s="57"/>
      <c r="H1568" s="57"/>
      <c r="I1568" s="57"/>
    </row>
    <row r="1569" spans="1:9" x14ac:dyDescent="0.2">
      <c r="A1569" s="70"/>
      <c r="B1569" s="57"/>
      <c r="C1569" s="57"/>
      <c r="D1569" s="57"/>
      <c r="E1569" s="57"/>
      <c r="F1569" s="57"/>
      <c r="G1569" s="57"/>
      <c r="H1569" s="57"/>
      <c r="I1569" s="57"/>
    </row>
    <row r="1570" spans="1:9" x14ac:dyDescent="0.2">
      <c r="A1570" s="70"/>
      <c r="B1570" s="57"/>
      <c r="C1570" s="57"/>
      <c r="D1570" s="57"/>
      <c r="E1570" s="57"/>
      <c r="F1570" s="57"/>
      <c r="G1570" s="57"/>
      <c r="H1570" s="57"/>
      <c r="I1570" s="57"/>
    </row>
    <row r="1571" spans="1:9" x14ac:dyDescent="0.2">
      <c r="A1571" s="70"/>
      <c r="B1571" s="57"/>
      <c r="C1571" s="57"/>
      <c r="D1571" s="57"/>
      <c r="E1571" s="57"/>
      <c r="F1571" s="57"/>
      <c r="G1571" s="57"/>
      <c r="H1571" s="57"/>
      <c r="I1571" s="57"/>
    </row>
    <row r="1572" spans="1:9" x14ac:dyDescent="0.2">
      <c r="A1572" s="70"/>
      <c r="B1572" s="57"/>
      <c r="C1572" s="57"/>
      <c r="D1572" s="57"/>
      <c r="E1572" s="57"/>
      <c r="F1572" s="57"/>
      <c r="G1572" s="57"/>
      <c r="H1572" s="57"/>
      <c r="I1572" s="57"/>
    </row>
    <row r="1573" spans="1:9" x14ac:dyDescent="0.2">
      <c r="A1573" s="70"/>
      <c r="B1573" s="57"/>
      <c r="C1573" s="57"/>
      <c r="D1573" s="57"/>
      <c r="E1573" s="57"/>
      <c r="F1573" s="57"/>
      <c r="G1573" s="57"/>
      <c r="H1573" s="57"/>
      <c r="I1573" s="57"/>
    </row>
    <row r="1574" spans="1:9" x14ac:dyDescent="0.2">
      <c r="A1574" s="70"/>
      <c r="B1574" s="57"/>
      <c r="C1574" s="57"/>
      <c r="D1574" s="57"/>
      <c r="E1574" s="57"/>
      <c r="F1574" s="57"/>
      <c r="G1574" s="57"/>
      <c r="H1574" s="57"/>
      <c r="I1574" s="57"/>
    </row>
    <row r="1575" spans="1:9" x14ac:dyDescent="0.2">
      <c r="A1575" s="70"/>
      <c r="B1575" s="57"/>
      <c r="C1575" s="57"/>
      <c r="D1575" s="57"/>
      <c r="E1575" s="57"/>
      <c r="F1575" s="57"/>
      <c r="G1575" s="57"/>
      <c r="H1575" s="57"/>
      <c r="I1575" s="57"/>
    </row>
    <row r="1576" spans="1:9" x14ac:dyDescent="0.2">
      <c r="A1576" s="70"/>
      <c r="B1576" s="57"/>
      <c r="C1576" s="57"/>
      <c r="D1576" s="57"/>
      <c r="E1576" s="57"/>
      <c r="F1576" s="57"/>
      <c r="G1576" s="57"/>
      <c r="H1576" s="57"/>
      <c r="I1576" s="57"/>
    </row>
    <row r="1577" spans="1:9" x14ac:dyDescent="0.2">
      <c r="A1577" s="70"/>
      <c r="B1577" s="57"/>
      <c r="C1577" s="57"/>
      <c r="D1577" s="57"/>
      <c r="E1577" s="57"/>
      <c r="F1577" s="57"/>
      <c r="G1577" s="57"/>
      <c r="H1577" s="57"/>
      <c r="I1577" s="57"/>
    </row>
    <row r="1578" spans="1:9" x14ac:dyDescent="0.2">
      <c r="A1578" s="70"/>
      <c r="B1578" s="57"/>
      <c r="C1578" s="57"/>
      <c r="D1578" s="57"/>
      <c r="E1578" s="57"/>
      <c r="F1578" s="57"/>
      <c r="G1578" s="57"/>
      <c r="H1578" s="57"/>
      <c r="I1578" s="57"/>
    </row>
    <row r="1579" spans="1:9" x14ac:dyDescent="0.2">
      <c r="A1579" s="70"/>
      <c r="B1579" s="57"/>
      <c r="C1579" s="57"/>
      <c r="D1579" s="57"/>
      <c r="E1579" s="57"/>
      <c r="F1579" s="57"/>
      <c r="G1579" s="57"/>
      <c r="H1579" s="57"/>
      <c r="I1579" s="57"/>
    </row>
    <row r="1580" spans="1:9" x14ac:dyDescent="0.2">
      <c r="A1580" s="70"/>
      <c r="B1580" s="57"/>
      <c r="C1580" s="57"/>
      <c r="D1580" s="57"/>
      <c r="E1580" s="57"/>
      <c r="F1580" s="57"/>
      <c r="G1580" s="57"/>
      <c r="H1580" s="57"/>
      <c r="I1580" s="57"/>
    </row>
    <row r="1581" spans="1:9" x14ac:dyDescent="0.2">
      <c r="A1581" s="70"/>
      <c r="B1581" s="57"/>
      <c r="C1581" s="57"/>
      <c r="D1581" s="57"/>
      <c r="E1581" s="57"/>
      <c r="F1581" s="57"/>
      <c r="G1581" s="57"/>
      <c r="H1581" s="57"/>
      <c r="I1581" s="57"/>
    </row>
    <row r="1582" spans="1:9" x14ac:dyDescent="0.2">
      <c r="A1582" s="70"/>
      <c r="B1582" s="57"/>
      <c r="C1582" s="57"/>
      <c r="D1582" s="57"/>
      <c r="E1582" s="57"/>
      <c r="F1582" s="57"/>
      <c r="G1582" s="57"/>
      <c r="H1582" s="57"/>
      <c r="I1582" s="57"/>
    </row>
    <row r="1583" spans="1:9" x14ac:dyDescent="0.2">
      <c r="A1583" s="70"/>
      <c r="B1583" s="57"/>
      <c r="C1583" s="57"/>
      <c r="D1583" s="57"/>
      <c r="E1583" s="57"/>
      <c r="F1583" s="57"/>
      <c r="G1583" s="57"/>
      <c r="H1583" s="57"/>
      <c r="I1583" s="57"/>
    </row>
    <row r="1584" spans="1:9" x14ac:dyDescent="0.2">
      <c r="A1584" s="70"/>
      <c r="B1584" s="57"/>
      <c r="C1584" s="57"/>
      <c r="D1584" s="57"/>
      <c r="E1584" s="57"/>
      <c r="F1584" s="57"/>
      <c r="G1584" s="57"/>
      <c r="H1584" s="57"/>
      <c r="I1584" s="57"/>
    </row>
    <row r="1585" spans="1:9" x14ac:dyDescent="0.2">
      <c r="A1585" s="70"/>
      <c r="B1585" s="57"/>
      <c r="C1585" s="57"/>
      <c r="D1585" s="57"/>
      <c r="E1585" s="57"/>
      <c r="F1585" s="57"/>
      <c r="G1585" s="57"/>
      <c r="H1585" s="57"/>
      <c r="I1585" s="57"/>
    </row>
    <row r="1586" spans="1:9" x14ac:dyDescent="0.2">
      <c r="A1586" s="70"/>
      <c r="B1586" s="57"/>
      <c r="C1586" s="57"/>
      <c r="D1586" s="57"/>
      <c r="E1586" s="57"/>
      <c r="F1586" s="57"/>
      <c r="G1586" s="57"/>
      <c r="H1586" s="57"/>
      <c r="I1586" s="57"/>
    </row>
    <row r="1587" spans="1:9" x14ac:dyDescent="0.2">
      <c r="A1587" s="70"/>
      <c r="B1587" s="57"/>
      <c r="C1587" s="57"/>
      <c r="D1587" s="57"/>
      <c r="E1587" s="57"/>
      <c r="F1587" s="57"/>
      <c r="G1587" s="57"/>
      <c r="H1587" s="57"/>
      <c r="I1587" s="57"/>
    </row>
    <row r="1588" spans="1:9" x14ac:dyDescent="0.2">
      <c r="A1588" s="70"/>
      <c r="B1588" s="57"/>
      <c r="C1588" s="57"/>
      <c r="D1588" s="57"/>
      <c r="E1588" s="57"/>
      <c r="F1588" s="57"/>
      <c r="G1588" s="57"/>
      <c r="H1588" s="57"/>
      <c r="I1588" s="57"/>
    </row>
    <row r="1589" spans="1:9" x14ac:dyDescent="0.2">
      <c r="A1589" s="70"/>
      <c r="B1589" s="57"/>
      <c r="C1589" s="57"/>
      <c r="D1589" s="57"/>
      <c r="E1589" s="57"/>
      <c r="F1589" s="57"/>
      <c r="G1589" s="57"/>
      <c r="H1589" s="57"/>
      <c r="I1589" s="57"/>
    </row>
    <row r="1590" spans="1:9" x14ac:dyDescent="0.2">
      <c r="A1590" s="70"/>
      <c r="B1590" s="57"/>
      <c r="C1590" s="57"/>
      <c r="D1590" s="57"/>
      <c r="E1590" s="57"/>
      <c r="F1590" s="57"/>
      <c r="G1590" s="57"/>
      <c r="H1590" s="57"/>
      <c r="I1590" s="57"/>
    </row>
    <row r="1591" spans="1:9" x14ac:dyDescent="0.2">
      <c r="A1591" s="70"/>
      <c r="B1591" s="57"/>
      <c r="C1591" s="57"/>
      <c r="D1591" s="57"/>
      <c r="E1591" s="57"/>
      <c r="F1591" s="57"/>
      <c r="G1591" s="57"/>
      <c r="H1591" s="57"/>
      <c r="I1591" s="57"/>
    </row>
    <row r="1592" spans="1:9" x14ac:dyDescent="0.2">
      <c r="A1592" s="70"/>
      <c r="B1592" s="57"/>
      <c r="C1592" s="57"/>
      <c r="D1592" s="57"/>
      <c r="E1592" s="57"/>
      <c r="F1592" s="57"/>
      <c r="G1592" s="57"/>
      <c r="H1592" s="57"/>
      <c r="I1592" s="57"/>
    </row>
    <row r="1593" spans="1:9" x14ac:dyDescent="0.2">
      <c r="A1593" s="70"/>
      <c r="B1593" s="57"/>
      <c r="C1593" s="57"/>
      <c r="D1593" s="57"/>
      <c r="E1593" s="57"/>
      <c r="F1593" s="57"/>
      <c r="G1593" s="57"/>
      <c r="H1593" s="57"/>
      <c r="I1593" s="57"/>
    </row>
    <row r="1594" spans="1:9" x14ac:dyDescent="0.2">
      <c r="A1594" s="70"/>
      <c r="B1594" s="57"/>
      <c r="C1594" s="57"/>
      <c r="D1594" s="57"/>
      <c r="E1594" s="57"/>
      <c r="F1594" s="57"/>
      <c r="G1594" s="57"/>
      <c r="H1594" s="57"/>
      <c r="I1594" s="57"/>
    </row>
    <row r="1595" spans="1:9" x14ac:dyDescent="0.2">
      <c r="A1595" s="70"/>
      <c r="B1595" s="57"/>
      <c r="C1595" s="57"/>
      <c r="D1595" s="57"/>
      <c r="E1595" s="57"/>
      <c r="F1595" s="57"/>
      <c r="G1595" s="57"/>
      <c r="H1595" s="57"/>
      <c r="I1595" s="57"/>
    </row>
    <row r="1596" spans="1:9" x14ac:dyDescent="0.2">
      <c r="A1596" s="70"/>
      <c r="B1596" s="57"/>
      <c r="C1596" s="57"/>
      <c r="D1596" s="57"/>
      <c r="E1596" s="57"/>
      <c r="F1596" s="57"/>
      <c r="G1596" s="57"/>
      <c r="H1596" s="57"/>
      <c r="I1596" s="57"/>
    </row>
    <row r="1597" spans="1:9" x14ac:dyDescent="0.2">
      <c r="A1597" s="70"/>
      <c r="B1597" s="57"/>
      <c r="C1597" s="57"/>
      <c r="D1597" s="57"/>
      <c r="E1597" s="57"/>
      <c r="F1597" s="57"/>
      <c r="G1597" s="57"/>
      <c r="H1597" s="57"/>
      <c r="I1597" s="57"/>
    </row>
    <row r="1598" spans="1:9" x14ac:dyDescent="0.2">
      <c r="A1598" s="70"/>
      <c r="B1598" s="57"/>
      <c r="C1598" s="57"/>
      <c r="D1598" s="57"/>
      <c r="E1598" s="57"/>
      <c r="F1598" s="57"/>
      <c r="G1598" s="57"/>
      <c r="H1598" s="57"/>
      <c r="I1598" s="57"/>
    </row>
    <row r="1599" spans="1:9" x14ac:dyDescent="0.2">
      <c r="A1599" s="70"/>
      <c r="B1599" s="57"/>
      <c r="C1599" s="57"/>
      <c r="D1599" s="57"/>
      <c r="E1599" s="57"/>
      <c r="F1599" s="57"/>
      <c r="G1599" s="57"/>
      <c r="H1599" s="57"/>
      <c r="I1599" s="57"/>
    </row>
    <row r="1600" spans="1:9" x14ac:dyDescent="0.2">
      <c r="A1600" s="70"/>
      <c r="B1600" s="57"/>
      <c r="C1600" s="57"/>
      <c r="D1600" s="57"/>
      <c r="E1600" s="57"/>
      <c r="F1600" s="57"/>
      <c r="G1600" s="57"/>
      <c r="H1600" s="57"/>
      <c r="I1600" s="57"/>
    </row>
    <row r="1601" spans="1:9" x14ac:dyDescent="0.2">
      <c r="A1601" s="70"/>
      <c r="B1601" s="57"/>
      <c r="C1601" s="57"/>
      <c r="D1601" s="57"/>
      <c r="E1601" s="57"/>
      <c r="F1601" s="57"/>
      <c r="G1601" s="57"/>
      <c r="H1601" s="57"/>
      <c r="I1601" s="57"/>
    </row>
    <row r="1602" spans="1:9" x14ac:dyDescent="0.2">
      <c r="A1602" s="70"/>
      <c r="B1602" s="57"/>
      <c r="C1602" s="57"/>
      <c r="D1602" s="57"/>
      <c r="E1602" s="57"/>
      <c r="F1602" s="57"/>
      <c r="G1602" s="57"/>
      <c r="H1602" s="57"/>
      <c r="I1602" s="57"/>
    </row>
    <row r="1603" spans="1:9" x14ac:dyDescent="0.2">
      <c r="A1603" s="70"/>
      <c r="B1603" s="57"/>
      <c r="C1603" s="57"/>
      <c r="D1603" s="57"/>
      <c r="E1603" s="57"/>
      <c r="F1603" s="57"/>
      <c r="G1603" s="57"/>
      <c r="H1603" s="57"/>
      <c r="I1603" s="57"/>
    </row>
    <row r="1604" spans="1:9" x14ac:dyDescent="0.2">
      <c r="A1604" s="70"/>
      <c r="B1604" s="57"/>
      <c r="C1604" s="57"/>
      <c r="D1604" s="57"/>
      <c r="E1604" s="57"/>
      <c r="F1604" s="57"/>
      <c r="G1604" s="57"/>
      <c r="H1604" s="57"/>
      <c r="I1604" s="57"/>
    </row>
    <row r="1605" spans="1:9" x14ac:dyDescent="0.2">
      <c r="A1605" s="70"/>
      <c r="B1605" s="57"/>
      <c r="C1605" s="57"/>
      <c r="D1605" s="57"/>
      <c r="E1605" s="57"/>
      <c r="F1605" s="57"/>
      <c r="G1605" s="57"/>
      <c r="H1605" s="57"/>
      <c r="I1605" s="57"/>
    </row>
    <row r="1606" spans="1:9" x14ac:dyDescent="0.2">
      <c r="A1606" s="70"/>
      <c r="B1606" s="57"/>
      <c r="C1606" s="57"/>
      <c r="D1606" s="57"/>
      <c r="E1606" s="57"/>
      <c r="F1606" s="57"/>
      <c r="G1606" s="57"/>
      <c r="H1606" s="57"/>
      <c r="I1606" s="57"/>
    </row>
    <row r="1607" spans="1:9" x14ac:dyDescent="0.2">
      <c r="A1607" s="70"/>
      <c r="B1607" s="57"/>
      <c r="C1607" s="57"/>
      <c r="D1607" s="57"/>
      <c r="E1607" s="57"/>
      <c r="F1607" s="57"/>
      <c r="G1607" s="57"/>
      <c r="H1607" s="57"/>
      <c r="I1607" s="57"/>
    </row>
    <row r="1608" spans="1:9" x14ac:dyDescent="0.2">
      <c r="A1608" s="70"/>
      <c r="B1608" s="57"/>
      <c r="C1608" s="57"/>
      <c r="D1608" s="57"/>
      <c r="E1608" s="57"/>
      <c r="F1608" s="57"/>
      <c r="G1608" s="57"/>
      <c r="H1608" s="57"/>
      <c r="I1608" s="57"/>
    </row>
    <row r="1609" spans="1:9" x14ac:dyDescent="0.2">
      <c r="A1609" s="70"/>
      <c r="B1609" s="57"/>
      <c r="C1609" s="57"/>
      <c r="D1609" s="57"/>
      <c r="E1609" s="57"/>
      <c r="F1609" s="57"/>
      <c r="G1609" s="57"/>
      <c r="H1609" s="57"/>
      <c r="I1609" s="57"/>
    </row>
    <row r="1610" spans="1:9" x14ac:dyDescent="0.2">
      <c r="A1610" s="70"/>
      <c r="B1610" s="57"/>
      <c r="C1610" s="57"/>
      <c r="D1610" s="57"/>
      <c r="E1610" s="57"/>
      <c r="F1610" s="57"/>
      <c r="G1610" s="57"/>
      <c r="H1610" s="57"/>
      <c r="I1610" s="57"/>
    </row>
    <row r="1611" spans="1:9" x14ac:dyDescent="0.2">
      <c r="A1611" s="70"/>
      <c r="B1611" s="57"/>
      <c r="C1611" s="57"/>
      <c r="D1611" s="57"/>
      <c r="E1611" s="57"/>
      <c r="F1611" s="57"/>
      <c r="G1611" s="57"/>
      <c r="H1611" s="57"/>
      <c r="I1611" s="57"/>
    </row>
    <row r="1612" spans="1:9" x14ac:dyDescent="0.2">
      <c r="A1612" s="70"/>
      <c r="B1612" s="57"/>
      <c r="C1612" s="57"/>
      <c r="D1612" s="57"/>
      <c r="E1612" s="57"/>
      <c r="F1612" s="57"/>
      <c r="G1612" s="57"/>
      <c r="H1612" s="57"/>
      <c r="I1612" s="57"/>
    </row>
    <row r="1613" spans="1:9" x14ac:dyDescent="0.2">
      <c r="A1613" s="70"/>
      <c r="B1613" s="57"/>
      <c r="C1613" s="57"/>
      <c r="D1613" s="57"/>
      <c r="E1613" s="57"/>
      <c r="F1613" s="57"/>
      <c r="G1613" s="57"/>
      <c r="H1613" s="57"/>
      <c r="I1613" s="57"/>
    </row>
    <row r="1614" spans="1:9" x14ac:dyDescent="0.2">
      <c r="A1614" s="70"/>
      <c r="B1614" s="57"/>
      <c r="C1614" s="57"/>
      <c r="D1614" s="57"/>
      <c r="E1614" s="57"/>
      <c r="F1614" s="57"/>
      <c r="G1614" s="57"/>
      <c r="H1614" s="57"/>
      <c r="I1614" s="57"/>
    </row>
    <row r="1615" spans="1:9" x14ac:dyDescent="0.2">
      <c r="A1615" s="70"/>
      <c r="B1615" s="57"/>
      <c r="C1615" s="57"/>
      <c r="D1615" s="57"/>
      <c r="E1615" s="57"/>
      <c r="F1615" s="57"/>
      <c r="G1615" s="57"/>
      <c r="H1615" s="57"/>
      <c r="I1615" s="57"/>
    </row>
    <row r="1616" spans="1:9" x14ac:dyDescent="0.2">
      <c r="A1616" s="70"/>
      <c r="B1616" s="57"/>
      <c r="C1616" s="57"/>
      <c r="D1616" s="57"/>
      <c r="E1616" s="57"/>
      <c r="F1616" s="57"/>
      <c r="G1616" s="57"/>
      <c r="H1616" s="57"/>
      <c r="I1616" s="57"/>
    </row>
    <row r="1617" spans="1:9" x14ac:dyDescent="0.2">
      <c r="A1617" s="70"/>
      <c r="B1617" s="57"/>
      <c r="C1617" s="57"/>
      <c r="D1617" s="57"/>
      <c r="E1617" s="57"/>
      <c r="F1617" s="57"/>
      <c r="G1617" s="57"/>
      <c r="H1617" s="57"/>
      <c r="I1617" s="57"/>
    </row>
    <row r="1618" spans="1:9" x14ac:dyDescent="0.2">
      <c r="A1618" s="70"/>
      <c r="B1618" s="57"/>
      <c r="C1618" s="57"/>
      <c r="D1618" s="57"/>
      <c r="E1618" s="57"/>
      <c r="F1618" s="57"/>
      <c r="G1618" s="57"/>
      <c r="H1618" s="57"/>
      <c r="I1618" s="57"/>
    </row>
    <row r="1619" spans="1:9" x14ac:dyDescent="0.2">
      <c r="A1619" s="70"/>
      <c r="B1619" s="57"/>
      <c r="C1619" s="57"/>
      <c r="D1619" s="57"/>
      <c r="E1619" s="57"/>
      <c r="F1619" s="57"/>
      <c r="G1619" s="57"/>
      <c r="H1619" s="57"/>
      <c r="I1619" s="57"/>
    </row>
    <row r="1620" spans="1:9" x14ac:dyDescent="0.2">
      <c r="A1620" s="70"/>
      <c r="B1620" s="57"/>
      <c r="C1620" s="57"/>
      <c r="D1620" s="57"/>
      <c r="E1620" s="57"/>
      <c r="F1620" s="57"/>
      <c r="G1620" s="57"/>
      <c r="H1620" s="57"/>
      <c r="I1620" s="57"/>
    </row>
    <row r="1621" spans="1:9" x14ac:dyDescent="0.2">
      <c r="A1621" s="70"/>
      <c r="B1621" s="57"/>
      <c r="C1621" s="57"/>
      <c r="D1621" s="57"/>
      <c r="E1621" s="57"/>
      <c r="F1621" s="57"/>
      <c r="G1621" s="57"/>
      <c r="H1621" s="57"/>
      <c r="I1621" s="57"/>
    </row>
    <row r="1622" spans="1:9" x14ac:dyDescent="0.2">
      <c r="A1622" s="70"/>
      <c r="B1622" s="57"/>
      <c r="C1622" s="57"/>
      <c r="D1622" s="57"/>
      <c r="E1622" s="57"/>
      <c r="F1622" s="57"/>
      <c r="G1622" s="57"/>
      <c r="H1622" s="57"/>
      <c r="I1622" s="57"/>
    </row>
    <row r="1623" spans="1:9" x14ac:dyDescent="0.2">
      <c r="A1623" s="70"/>
      <c r="B1623" s="57"/>
      <c r="C1623" s="57"/>
      <c r="D1623" s="57"/>
      <c r="E1623" s="57"/>
      <c r="F1623" s="57"/>
      <c r="G1623" s="57"/>
      <c r="H1623" s="57"/>
      <c r="I1623" s="57"/>
    </row>
    <row r="1624" spans="1:9" x14ac:dyDescent="0.2">
      <c r="A1624" s="70"/>
      <c r="B1624" s="57"/>
      <c r="C1624" s="57"/>
      <c r="D1624" s="57"/>
      <c r="E1624" s="57"/>
      <c r="F1624" s="57"/>
      <c r="G1624" s="57"/>
      <c r="H1624" s="57"/>
      <c r="I1624" s="57"/>
    </row>
    <row r="1625" spans="1:9" x14ac:dyDescent="0.2">
      <c r="A1625" s="70"/>
      <c r="B1625" s="57"/>
      <c r="C1625" s="57"/>
      <c r="D1625" s="57"/>
      <c r="E1625" s="57"/>
      <c r="F1625" s="57"/>
      <c r="G1625" s="57"/>
      <c r="H1625" s="57"/>
      <c r="I1625" s="57"/>
    </row>
    <row r="1626" spans="1:9" x14ac:dyDescent="0.2">
      <c r="A1626" s="70"/>
      <c r="B1626" s="57"/>
      <c r="C1626" s="57"/>
      <c r="D1626" s="57"/>
      <c r="E1626" s="57"/>
      <c r="F1626" s="57"/>
      <c r="G1626" s="57"/>
      <c r="H1626" s="57"/>
      <c r="I1626" s="57"/>
    </row>
    <row r="1627" spans="1:9" x14ac:dyDescent="0.2">
      <c r="A1627" s="70"/>
      <c r="B1627" s="57"/>
      <c r="C1627" s="57"/>
      <c r="D1627" s="57"/>
      <c r="E1627" s="57"/>
      <c r="F1627" s="57"/>
      <c r="G1627" s="57"/>
      <c r="H1627" s="57"/>
      <c r="I1627" s="57"/>
    </row>
    <row r="1628" spans="1:9" x14ac:dyDescent="0.2">
      <c r="A1628" s="70"/>
      <c r="B1628" s="57"/>
      <c r="C1628" s="57"/>
      <c r="D1628" s="57"/>
      <c r="E1628" s="57"/>
      <c r="F1628" s="57"/>
      <c r="G1628" s="57"/>
      <c r="H1628" s="57"/>
      <c r="I1628" s="57"/>
    </row>
    <row r="1629" spans="1:9" x14ac:dyDescent="0.2">
      <c r="A1629" s="70"/>
      <c r="B1629" s="57"/>
      <c r="C1629" s="57"/>
      <c r="D1629" s="57"/>
      <c r="E1629" s="57"/>
      <c r="F1629" s="57"/>
      <c r="G1629" s="57"/>
      <c r="H1629" s="57"/>
      <c r="I1629" s="57"/>
    </row>
    <row r="1630" spans="1:9" x14ac:dyDescent="0.2">
      <c r="A1630" s="70"/>
      <c r="B1630" s="57"/>
      <c r="C1630" s="57"/>
      <c r="D1630" s="57"/>
      <c r="E1630" s="57"/>
      <c r="F1630" s="57"/>
      <c r="G1630" s="57"/>
      <c r="H1630" s="57"/>
      <c r="I1630" s="57"/>
    </row>
    <row r="1631" spans="1:9" x14ac:dyDescent="0.2">
      <c r="A1631" s="70"/>
      <c r="B1631" s="57"/>
      <c r="C1631" s="57"/>
      <c r="D1631" s="57"/>
      <c r="E1631" s="57"/>
      <c r="F1631" s="57"/>
      <c r="G1631" s="57"/>
      <c r="H1631" s="57"/>
      <c r="I1631" s="57"/>
    </row>
    <row r="1632" spans="1:9" x14ac:dyDescent="0.2">
      <c r="A1632" s="70"/>
      <c r="B1632" s="57"/>
      <c r="C1632" s="57"/>
      <c r="D1632" s="57"/>
      <c r="E1632" s="57"/>
      <c r="F1632" s="57"/>
      <c r="G1632" s="57"/>
      <c r="H1632" s="57"/>
      <c r="I1632" s="57"/>
    </row>
    <row r="1633" spans="1:9" x14ac:dyDescent="0.2">
      <c r="A1633" s="70"/>
      <c r="B1633" s="57"/>
      <c r="C1633" s="57"/>
      <c r="D1633" s="57"/>
      <c r="E1633" s="57"/>
      <c r="F1633" s="57"/>
      <c r="G1633" s="57"/>
      <c r="H1633" s="57"/>
      <c r="I1633" s="57"/>
    </row>
    <row r="1634" spans="1:9" x14ac:dyDescent="0.2">
      <c r="A1634" s="70"/>
      <c r="B1634" s="57"/>
      <c r="C1634" s="57"/>
      <c r="D1634" s="57"/>
      <c r="E1634" s="57"/>
      <c r="F1634" s="57"/>
      <c r="G1634" s="57"/>
      <c r="H1634" s="57"/>
      <c r="I1634" s="57"/>
    </row>
    <row r="1635" spans="1:9" x14ac:dyDescent="0.2">
      <c r="A1635" s="70"/>
      <c r="B1635" s="57"/>
      <c r="C1635" s="57"/>
      <c r="D1635" s="57"/>
      <c r="E1635" s="57"/>
      <c r="F1635" s="57"/>
      <c r="G1635" s="57"/>
      <c r="H1635" s="57"/>
      <c r="I1635" s="57"/>
    </row>
    <row r="1636" spans="1:9" x14ac:dyDescent="0.2">
      <c r="A1636" s="70"/>
      <c r="B1636" s="57"/>
      <c r="C1636" s="57"/>
      <c r="D1636" s="57"/>
      <c r="E1636" s="57"/>
      <c r="F1636" s="57"/>
      <c r="G1636" s="57"/>
      <c r="H1636" s="57"/>
      <c r="I1636" s="57"/>
    </row>
    <row r="1637" spans="1:9" x14ac:dyDescent="0.2">
      <c r="A1637" s="70"/>
      <c r="B1637" s="57"/>
      <c r="C1637" s="57"/>
      <c r="D1637" s="57"/>
      <c r="E1637" s="57"/>
      <c r="F1637" s="57"/>
      <c r="G1637" s="57"/>
      <c r="H1637" s="57"/>
      <c r="I1637" s="57"/>
    </row>
    <row r="1638" spans="1:9" x14ac:dyDescent="0.2">
      <c r="A1638" s="70"/>
      <c r="B1638" s="57"/>
      <c r="C1638" s="57"/>
      <c r="D1638" s="57"/>
      <c r="E1638" s="57"/>
      <c r="F1638" s="57"/>
      <c r="G1638" s="57"/>
      <c r="H1638" s="57"/>
      <c r="I1638" s="57"/>
    </row>
    <row r="1639" spans="1:9" x14ac:dyDescent="0.2">
      <c r="A1639" s="70"/>
      <c r="B1639" s="57"/>
      <c r="C1639" s="57"/>
      <c r="D1639" s="57"/>
      <c r="E1639" s="57"/>
      <c r="F1639" s="57"/>
      <c r="G1639" s="57"/>
      <c r="H1639" s="57"/>
      <c r="I1639" s="57"/>
    </row>
    <row r="1640" spans="1:9" x14ac:dyDescent="0.2">
      <c r="A1640" s="70"/>
      <c r="B1640" s="57"/>
      <c r="C1640" s="57"/>
      <c r="D1640" s="57"/>
      <c r="E1640" s="57"/>
      <c r="F1640" s="57"/>
      <c r="G1640" s="57"/>
      <c r="H1640" s="57"/>
      <c r="I1640" s="57"/>
    </row>
    <row r="1641" spans="1:9" x14ac:dyDescent="0.2">
      <c r="A1641" s="70"/>
      <c r="B1641" s="57"/>
      <c r="C1641" s="57"/>
      <c r="D1641" s="57"/>
      <c r="E1641" s="57"/>
      <c r="F1641" s="57"/>
      <c r="G1641" s="57"/>
      <c r="H1641" s="57"/>
      <c r="I1641" s="57"/>
    </row>
    <row r="1642" spans="1:9" x14ac:dyDescent="0.2">
      <c r="A1642" s="70"/>
      <c r="B1642" s="57"/>
      <c r="C1642" s="57"/>
      <c r="D1642" s="57"/>
      <c r="E1642" s="57"/>
      <c r="F1642" s="57"/>
      <c r="G1642" s="57"/>
      <c r="H1642" s="57"/>
      <c r="I1642" s="57"/>
    </row>
    <row r="1643" spans="1:9" x14ac:dyDescent="0.2">
      <c r="A1643" s="70"/>
      <c r="B1643" s="57"/>
      <c r="C1643" s="57"/>
      <c r="D1643" s="57"/>
      <c r="E1643" s="57"/>
      <c r="F1643" s="57"/>
      <c r="G1643" s="57"/>
      <c r="H1643" s="57"/>
      <c r="I1643" s="57"/>
    </row>
    <row r="1644" spans="1:9" x14ac:dyDescent="0.2">
      <c r="A1644" s="70"/>
      <c r="B1644" s="57"/>
      <c r="C1644" s="57"/>
      <c r="D1644" s="57"/>
      <c r="E1644" s="57"/>
      <c r="F1644" s="57"/>
      <c r="G1644" s="57"/>
      <c r="H1644" s="57"/>
      <c r="I1644" s="57"/>
    </row>
    <row r="1645" spans="1:9" x14ac:dyDescent="0.2">
      <c r="A1645" s="70"/>
      <c r="B1645" s="57"/>
      <c r="C1645" s="57"/>
      <c r="D1645" s="57"/>
      <c r="E1645" s="57"/>
      <c r="F1645" s="57"/>
      <c r="G1645" s="57"/>
      <c r="H1645" s="57"/>
      <c r="I1645" s="57"/>
    </row>
    <row r="1646" spans="1:9" x14ac:dyDescent="0.2">
      <c r="A1646" s="70"/>
      <c r="B1646" s="57"/>
      <c r="C1646" s="57"/>
      <c r="D1646" s="57"/>
      <c r="E1646" s="57"/>
      <c r="F1646" s="57"/>
      <c r="G1646" s="57"/>
      <c r="H1646" s="57"/>
      <c r="I1646" s="57"/>
    </row>
    <row r="1647" spans="1:9" x14ac:dyDescent="0.2">
      <c r="A1647" s="70"/>
      <c r="B1647" s="57"/>
      <c r="C1647" s="57"/>
      <c r="D1647" s="57"/>
      <c r="E1647" s="57"/>
      <c r="F1647" s="57"/>
      <c r="G1647" s="57"/>
      <c r="H1647" s="57"/>
      <c r="I1647" s="57"/>
    </row>
    <row r="1648" spans="1:9" x14ac:dyDescent="0.2">
      <c r="A1648" s="70"/>
      <c r="B1648" s="57"/>
      <c r="C1648" s="57"/>
      <c r="D1648" s="57"/>
      <c r="E1648" s="57"/>
      <c r="F1648" s="57"/>
      <c r="G1648" s="57"/>
      <c r="H1648" s="57"/>
      <c r="I1648" s="57"/>
    </row>
    <row r="1649" spans="1:9" x14ac:dyDescent="0.2">
      <c r="A1649" s="70"/>
      <c r="B1649" s="57"/>
      <c r="C1649" s="57"/>
      <c r="D1649" s="57"/>
      <c r="E1649" s="57"/>
      <c r="F1649" s="57"/>
      <c r="G1649" s="57"/>
      <c r="H1649" s="57"/>
      <c r="I1649" s="57"/>
    </row>
    <row r="1650" spans="1:9" x14ac:dyDescent="0.2">
      <c r="A1650" s="70"/>
      <c r="B1650" s="57"/>
      <c r="C1650" s="57"/>
      <c r="D1650" s="57"/>
      <c r="E1650" s="57"/>
      <c r="F1650" s="57"/>
      <c r="G1650" s="57"/>
      <c r="H1650" s="57"/>
      <c r="I1650" s="57"/>
    </row>
    <row r="1651" spans="1:9" x14ac:dyDescent="0.2">
      <c r="A1651" s="70"/>
      <c r="B1651" s="57"/>
      <c r="C1651" s="57"/>
      <c r="D1651" s="57"/>
      <c r="E1651" s="57"/>
      <c r="F1651" s="57"/>
      <c r="G1651" s="57"/>
      <c r="H1651" s="57"/>
      <c r="I1651" s="57"/>
    </row>
    <row r="1652" spans="1:9" x14ac:dyDescent="0.2">
      <c r="A1652" s="70"/>
      <c r="B1652" s="57"/>
      <c r="C1652" s="57"/>
      <c r="D1652" s="57"/>
      <c r="E1652" s="57"/>
      <c r="F1652" s="57"/>
      <c r="G1652" s="57"/>
      <c r="H1652" s="57"/>
      <c r="I1652" s="57"/>
    </row>
    <row r="1653" spans="1:9" x14ac:dyDescent="0.2">
      <c r="A1653" s="70"/>
      <c r="B1653" s="57"/>
      <c r="C1653" s="57"/>
      <c r="D1653" s="57"/>
      <c r="E1653" s="57"/>
      <c r="F1653" s="57"/>
      <c r="G1653" s="57"/>
      <c r="H1653" s="57"/>
      <c r="I1653" s="57"/>
    </row>
    <row r="1654" spans="1:9" x14ac:dyDescent="0.2">
      <c r="A1654" s="70"/>
      <c r="B1654" s="57"/>
      <c r="C1654" s="57"/>
      <c r="D1654" s="57"/>
      <c r="E1654" s="57"/>
      <c r="F1654" s="57"/>
      <c r="G1654" s="57"/>
      <c r="H1654" s="57"/>
      <c r="I1654" s="57"/>
    </row>
    <row r="1655" spans="1:9" x14ac:dyDescent="0.2">
      <c r="A1655" s="70"/>
      <c r="B1655" s="57"/>
      <c r="C1655" s="57"/>
      <c r="D1655" s="57"/>
      <c r="E1655" s="57"/>
      <c r="F1655" s="57"/>
      <c r="G1655" s="57"/>
      <c r="H1655" s="57"/>
      <c r="I1655" s="57"/>
    </row>
    <row r="1656" spans="1:9" x14ac:dyDescent="0.2">
      <c r="A1656" s="70"/>
      <c r="B1656" s="57"/>
      <c r="C1656" s="57"/>
      <c r="D1656" s="57"/>
      <c r="E1656" s="57"/>
      <c r="F1656" s="57"/>
      <c r="G1656" s="57"/>
      <c r="H1656" s="57"/>
      <c r="I1656" s="57"/>
    </row>
    <row r="1657" spans="1:9" x14ac:dyDescent="0.2">
      <c r="A1657" s="70"/>
      <c r="B1657" s="57"/>
      <c r="C1657" s="57"/>
      <c r="D1657" s="57"/>
      <c r="E1657" s="57"/>
      <c r="F1657" s="57"/>
      <c r="G1657" s="57"/>
      <c r="H1657" s="57"/>
      <c r="I1657" s="57"/>
    </row>
    <row r="1658" spans="1:9" x14ac:dyDescent="0.2">
      <c r="A1658" s="70"/>
      <c r="B1658" s="57"/>
      <c r="C1658" s="57"/>
      <c r="D1658" s="57"/>
      <c r="E1658" s="57"/>
      <c r="F1658" s="57"/>
      <c r="G1658" s="57"/>
      <c r="H1658" s="57"/>
      <c r="I1658" s="57"/>
    </row>
    <row r="1659" spans="1:9" x14ac:dyDescent="0.2">
      <c r="A1659" s="70"/>
      <c r="B1659" s="57"/>
      <c r="C1659" s="57"/>
      <c r="D1659" s="57"/>
      <c r="E1659" s="57"/>
      <c r="F1659" s="57"/>
      <c r="G1659" s="57"/>
      <c r="H1659" s="57"/>
      <c r="I1659" s="57"/>
    </row>
    <row r="1660" spans="1:9" x14ac:dyDescent="0.2">
      <c r="A1660" s="70"/>
      <c r="B1660" s="57"/>
      <c r="C1660" s="57"/>
      <c r="D1660" s="57"/>
      <c r="E1660" s="57"/>
      <c r="F1660" s="57"/>
      <c r="G1660" s="57"/>
      <c r="H1660" s="57"/>
      <c r="I1660" s="57"/>
    </row>
    <row r="1661" spans="1:9" x14ac:dyDescent="0.2">
      <c r="A1661" s="70"/>
      <c r="B1661" s="57"/>
      <c r="C1661" s="57"/>
      <c r="D1661" s="57"/>
      <c r="E1661" s="57"/>
      <c r="F1661" s="57"/>
      <c r="G1661" s="57"/>
      <c r="H1661" s="57"/>
      <c r="I1661" s="57"/>
    </row>
    <row r="1662" spans="1:9" x14ac:dyDescent="0.2">
      <c r="A1662" s="70"/>
      <c r="B1662" s="57"/>
      <c r="C1662" s="57"/>
      <c r="D1662" s="57"/>
      <c r="E1662" s="57"/>
      <c r="F1662" s="57"/>
      <c r="G1662" s="57"/>
      <c r="H1662" s="57"/>
      <c r="I1662" s="57"/>
    </row>
    <row r="1663" spans="1:9" x14ac:dyDescent="0.2">
      <c r="A1663" s="70"/>
      <c r="B1663" s="57"/>
      <c r="C1663" s="57"/>
      <c r="D1663" s="57"/>
      <c r="E1663" s="57"/>
      <c r="F1663" s="57"/>
      <c r="G1663" s="57"/>
      <c r="H1663" s="57"/>
      <c r="I1663" s="57"/>
    </row>
    <row r="1664" spans="1:9" x14ac:dyDescent="0.2">
      <c r="A1664" s="70"/>
      <c r="B1664" s="57"/>
      <c r="C1664" s="57"/>
      <c r="D1664" s="57"/>
      <c r="E1664" s="57"/>
      <c r="F1664" s="57"/>
      <c r="G1664" s="57"/>
      <c r="H1664" s="57"/>
      <c r="I1664" s="57"/>
    </row>
    <row r="1665" spans="1:9" x14ac:dyDescent="0.2">
      <c r="A1665" s="70"/>
      <c r="B1665" s="57"/>
      <c r="C1665" s="57"/>
      <c r="D1665" s="57"/>
      <c r="E1665" s="57"/>
      <c r="F1665" s="57"/>
      <c r="G1665" s="57"/>
      <c r="H1665" s="57"/>
      <c r="I1665" s="57"/>
    </row>
    <row r="1666" spans="1:9" x14ac:dyDescent="0.2">
      <c r="A1666" s="70"/>
      <c r="B1666" s="57"/>
      <c r="C1666" s="57"/>
      <c r="D1666" s="57"/>
      <c r="E1666" s="57"/>
      <c r="F1666" s="57"/>
      <c r="G1666" s="57"/>
      <c r="H1666" s="57"/>
      <c r="I1666" s="57"/>
    </row>
    <row r="1667" spans="1:9" x14ac:dyDescent="0.2">
      <c r="A1667" s="70"/>
      <c r="B1667" s="57"/>
      <c r="C1667" s="57"/>
      <c r="D1667" s="57"/>
      <c r="E1667" s="57"/>
      <c r="F1667" s="57"/>
      <c r="G1667" s="57"/>
      <c r="H1667" s="57"/>
      <c r="I1667" s="57"/>
    </row>
    <row r="1668" spans="1:9" x14ac:dyDescent="0.2">
      <c r="A1668" s="70"/>
      <c r="B1668" s="57"/>
      <c r="C1668" s="57"/>
      <c r="D1668" s="57"/>
      <c r="E1668" s="57"/>
      <c r="F1668" s="57"/>
      <c r="G1668" s="57"/>
      <c r="H1668" s="57"/>
      <c r="I1668" s="57"/>
    </row>
    <row r="1669" spans="1:9" x14ac:dyDescent="0.2">
      <c r="A1669" s="70"/>
      <c r="B1669" s="57"/>
      <c r="C1669" s="57"/>
      <c r="D1669" s="57"/>
      <c r="E1669" s="57"/>
      <c r="F1669" s="57"/>
      <c r="G1669" s="57"/>
      <c r="H1669" s="57"/>
      <c r="I1669" s="57"/>
    </row>
    <row r="1670" spans="1:9" x14ac:dyDescent="0.2">
      <c r="A1670" s="70"/>
      <c r="B1670" s="57"/>
      <c r="C1670" s="57"/>
      <c r="D1670" s="57"/>
      <c r="E1670" s="57"/>
      <c r="F1670" s="57"/>
      <c r="G1670" s="57"/>
      <c r="H1670" s="57"/>
      <c r="I1670" s="57"/>
    </row>
    <row r="1671" spans="1:9" x14ac:dyDescent="0.2">
      <c r="A1671" s="70"/>
      <c r="B1671" s="57"/>
      <c r="C1671" s="57"/>
      <c r="D1671" s="57"/>
      <c r="E1671" s="57"/>
      <c r="F1671" s="57"/>
      <c r="G1671" s="57"/>
      <c r="H1671" s="57"/>
      <c r="I1671" s="57"/>
    </row>
    <row r="1672" spans="1:9" x14ac:dyDescent="0.2">
      <c r="A1672" s="70"/>
      <c r="B1672" s="57"/>
      <c r="C1672" s="57"/>
      <c r="D1672" s="57"/>
      <c r="E1672" s="57"/>
      <c r="F1672" s="57"/>
      <c r="G1672" s="57"/>
      <c r="H1672" s="57"/>
      <c r="I1672" s="57"/>
    </row>
    <row r="1673" spans="1:9" x14ac:dyDescent="0.2">
      <c r="A1673" s="70"/>
      <c r="B1673" s="57"/>
      <c r="C1673" s="57"/>
      <c r="D1673" s="57"/>
      <c r="E1673" s="57"/>
      <c r="F1673" s="57"/>
      <c r="G1673" s="57"/>
      <c r="H1673" s="57"/>
      <c r="I1673" s="57"/>
    </row>
    <row r="1674" spans="1:9" x14ac:dyDescent="0.2">
      <c r="A1674" s="70"/>
      <c r="B1674" s="57"/>
      <c r="C1674" s="57"/>
      <c r="D1674" s="57"/>
      <c r="E1674" s="57"/>
      <c r="F1674" s="57"/>
      <c r="G1674" s="57"/>
      <c r="H1674" s="57"/>
      <c r="I1674" s="57"/>
    </row>
    <row r="1675" spans="1:9" x14ac:dyDescent="0.2">
      <c r="A1675" s="70"/>
      <c r="B1675" s="57"/>
      <c r="C1675" s="57"/>
      <c r="D1675" s="57"/>
      <c r="E1675" s="57"/>
      <c r="F1675" s="57"/>
      <c r="G1675" s="57"/>
      <c r="H1675" s="57"/>
      <c r="I1675" s="57"/>
    </row>
    <row r="1676" spans="1:9" x14ac:dyDescent="0.2">
      <c r="A1676" s="70"/>
      <c r="B1676" s="57"/>
      <c r="C1676" s="57"/>
      <c r="D1676" s="57"/>
      <c r="E1676" s="57"/>
      <c r="F1676" s="57"/>
      <c r="G1676" s="57"/>
      <c r="H1676" s="57"/>
      <c r="I1676" s="57"/>
    </row>
    <row r="1677" spans="1:9" x14ac:dyDescent="0.2">
      <c r="A1677" s="70"/>
      <c r="B1677" s="57"/>
      <c r="C1677" s="57"/>
      <c r="D1677" s="57"/>
      <c r="E1677" s="57"/>
      <c r="F1677" s="57"/>
      <c r="G1677" s="57"/>
      <c r="H1677" s="57"/>
      <c r="I1677" s="57"/>
    </row>
    <row r="1678" spans="1:9" x14ac:dyDescent="0.2">
      <c r="A1678" s="70"/>
      <c r="B1678" s="57"/>
      <c r="C1678" s="57"/>
      <c r="D1678" s="57"/>
      <c r="E1678" s="57"/>
      <c r="F1678" s="57"/>
      <c r="G1678" s="57"/>
      <c r="H1678" s="57"/>
      <c r="I1678" s="57"/>
    </row>
    <row r="1679" spans="1:9" x14ac:dyDescent="0.2">
      <c r="A1679" s="70"/>
      <c r="B1679" s="57"/>
      <c r="C1679" s="57"/>
      <c r="D1679" s="57"/>
      <c r="E1679" s="57"/>
      <c r="F1679" s="57"/>
      <c r="G1679" s="57"/>
      <c r="H1679" s="57"/>
      <c r="I1679" s="57"/>
    </row>
    <row r="1680" spans="1:9" x14ac:dyDescent="0.2">
      <c r="A1680" s="70"/>
      <c r="B1680" s="57"/>
      <c r="C1680" s="57"/>
      <c r="D1680" s="57"/>
      <c r="E1680" s="57"/>
      <c r="F1680" s="57"/>
      <c r="G1680" s="57"/>
      <c r="H1680" s="57"/>
      <c r="I1680" s="57"/>
    </row>
    <row r="1681" spans="1:9" x14ac:dyDescent="0.2">
      <c r="A1681" s="70"/>
      <c r="B1681" s="57"/>
      <c r="C1681" s="57"/>
      <c r="D1681" s="57"/>
      <c r="E1681" s="57"/>
      <c r="F1681" s="57"/>
      <c r="G1681" s="57"/>
      <c r="H1681" s="57"/>
      <c r="I1681" s="57"/>
    </row>
    <row r="1682" spans="1:9" x14ac:dyDescent="0.2">
      <c r="A1682" s="70"/>
      <c r="B1682" s="57"/>
      <c r="C1682" s="57"/>
      <c r="D1682" s="57"/>
      <c r="E1682" s="57"/>
      <c r="F1682" s="57"/>
      <c r="G1682" s="57"/>
      <c r="H1682" s="57"/>
      <c r="I1682" s="57"/>
    </row>
    <row r="1683" spans="1:9" x14ac:dyDescent="0.2">
      <c r="A1683" s="70"/>
      <c r="B1683" s="57"/>
      <c r="C1683" s="57"/>
      <c r="D1683" s="57"/>
      <c r="E1683" s="57"/>
      <c r="F1683" s="57"/>
      <c r="G1683" s="57"/>
      <c r="H1683" s="57"/>
      <c r="I1683" s="57"/>
    </row>
    <row r="1684" spans="1:9" x14ac:dyDescent="0.2">
      <c r="A1684" s="70"/>
      <c r="B1684" s="57"/>
      <c r="C1684" s="57"/>
      <c r="D1684" s="57"/>
      <c r="E1684" s="57"/>
      <c r="F1684" s="57"/>
      <c r="G1684" s="57"/>
      <c r="H1684" s="57"/>
      <c r="I1684" s="57"/>
    </row>
    <row r="1685" spans="1:9" x14ac:dyDescent="0.2">
      <c r="A1685" s="70"/>
      <c r="B1685" s="57"/>
      <c r="C1685" s="57"/>
      <c r="D1685" s="57"/>
      <c r="E1685" s="57"/>
      <c r="F1685" s="57"/>
      <c r="G1685" s="57"/>
      <c r="H1685" s="57"/>
      <c r="I1685" s="57"/>
    </row>
    <row r="1686" spans="1:9" x14ac:dyDescent="0.2">
      <c r="A1686" s="70"/>
      <c r="B1686" s="57"/>
      <c r="C1686" s="57"/>
      <c r="D1686" s="57"/>
      <c r="E1686" s="57"/>
      <c r="F1686" s="57"/>
      <c r="G1686" s="57"/>
      <c r="H1686" s="57"/>
      <c r="I1686" s="57"/>
    </row>
    <row r="1687" spans="1:9" x14ac:dyDescent="0.2">
      <c r="A1687" s="70"/>
      <c r="B1687" s="57"/>
      <c r="C1687" s="57"/>
      <c r="D1687" s="57"/>
      <c r="E1687" s="57"/>
      <c r="F1687" s="57"/>
      <c r="G1687" s="57"/>
      <c r="H1687" s="57"/>
      <c r="I1687" s="57"/>
    </row>
    <row r="1688" spans="1:9" x14ac:dyDescent="0.2">
      <c r="A1688" s="70"/>
      <c r="B1688" s="57"/>
      <c r="C1688" s="57"/>
      <c r="D1688" s="57"/>
      <c r="E1688" s="57"/>
      <c r="F1688" s="57"/>
      <c r="G1688" s="57"/>
      <c r="H1688" s="57"/>
      <c r="I1688" s="57"/>
    </row>
    <row r="1689" spans="1:9" x14ac:dyDescent="0.2">
      <c r="A1689" s="70"/>
      <c r="B1689" s="57"/>
      <c r="C1689" s="57"/>
      <c r="D1689" s="57"/>
      <c r="E1689" s="57"/>
      <c r="F1689" s="57"/>
      <c r="G1689" s="57"/>
      <c r="H1689" s="57"/>
      <c r="I1689" s="57"/>
    </row>
    <row r="1690" spans="1:9" x14ac:dyDescent="0.2">
      <c r="A1690" s="70"/>
      <c r="B1690" s="57"/>
      <c r="C1690" s="57"/>
      <c r="D1690" s="57"/>
      <c r="E1690" s="57"/>
      <c r="F1690" s="57"/>
      <c r="G1690" s="57"/>
      <c r="H1690" s="57"/>
      <c r="I1690" s="57"/>
    </row>
    <row r="1691" spans="1:9" x14ac:dyDescent="0.2">
      <c r="A1691" s="70"/>
      <c r="B1691" s="57"/>
      <c r="C1691" s="57"/>
      <c r="D1691" s="57"/>
      <c r="E1691" s="57"/>
      <c r="F1691" s="57"/>
      <c r="G1691" s="57"/>
      <c r="H1691" s="57"/>
      <c r="I1691" s="57"/>
    </row>
    <row r="1692" spans="1:9" x14ac:dyDescent="0.2">
      <c r="A1692" s="70"/>
      <c r="B1692" s="57"/>
      <c r="C1692" s="57"/>
      <c r="D1692" s="57"/>
      <c r="E1692" s="57"/>
      <c r="F1692" s="57"/>
      <c r="G1692" s="57"/>
      <c r="H1692" s="57"/>
      <c r="I1692" s="57"/>
    </row>
    <row r="1693" spans="1:9" x14ac:dyDescent="0.2">
      <c r="A1693" s="70"/>
      <c r="B1693" s="57"/>
      <c r="C1693" s="57"/>
      <c r="D1693" s="57"/>
      <c r="E1693" s="57"/>
      <c r="F1693" s="57"/>
      <c r="G1693" s="57"/>
      <c r="H1693" s="57"/>
      <c r="I1693" s="57"/>
    </row>
    <row r="1694" spans="1:9" x14ac:dyDescent="0.2">
      <c r="A1694" s="70"/>
      <c r="B1694" s="57"/>
      <c r="C1694" s="57"/>
      <c r="D1694" s="57"/>
      <c r="E1694" s="57"/>
      <c r="F1694" s="57"/>
      <c r="G1694" s="57"/>
      <c r="H1694" s="57"/>
      <c r="I1694" s="57"/>
    </row>
    <row r="1695" spans="1:9" x14ac:dyDescent="0.2">
      <c r="A1695" s="70"/>
      <c r="B1695" s="57"/>
      <c r="C1695" s="57"/>
      <c r="D1695" s="57"/>
      <c r="E1695" s="57"/>
      <c r="F1695" s="57"/>
      <c r="G1695" s="57"/>
      <c r="H1695" s="57"/>
      <c r="I1695" s="57"/>
    </row>
    <row r="1696" spans="1:9" x14ac:dyDescent="0.2">
      <c r="A1696" s="70"/>
      <c r="B1696" s="57"/>
      <c r="C1696" s="57"/>
      <c r="D1696" s="57"/>
      <c r="E1696" s="57"/>
      <c r="F1696" s="57"/>
      <c r="G1696" s="57"/>
      <c r="H1696" s="57"/>
      <c r="I1696" s="57"/>
    </row>
    <row r="1697" spans="1:9" x14ac:dyDescent="0.2">
      <c r="A1697" s="70"/>
      <c r="B1697" s="57"/>
      <c r="C1697" s="57"/>
      <c r="D1697" s="57"/>
      <c r="E1697" s="57"/>
      <c r="F1697" s="57"/>
      <c r="G1697" s="57"/>
      <c r="H1697" s="57"/>
      <c r="I1697" s="57"/>
    </row>
    <row r="1698" spans="1:9" x14ac:dyDescent="0.2">
      <c r="A1698" s="70"/>
      <c r="B1698" s="57"/>
      <c r="C1698" s="57"/>
      <c r="D1698" s="57"/>
      <c r="E1698" s="57"/>
      <c r="F1698" s="57"/>
      <c r="G1698" s="57"/>
      <c r="H1698" s="57"/>
      <c r="I1698" s="57"/>
    </row>
    <row r="1699" spans="1:9" x14ac:dyDescent="0.2">
      <c r="A1699" s="70"/>
      <c r="B1699" s="57"/>
      <c r="C1699" s="57"/>
      <c r="D1699" s="57"/>
      <c r="E1699" s="57"/>
      <c r="F1699" s="57"/>
      <c r="G1699" s="57"/>
      <c r="H1699" s="57"/>
      <c r="I1699" s="57"/>
    </row>
    <row r="1700" spans="1:9" x14ac:dyDescent="0.2">
      <c r="A1700" s="70"/>
      <c r="B1700" s="57"/>
      <c r="C1700" s="57"/>
      <c r="D1700" s="57"/>
      <c r="E1700" s="57"/>
      <c r="F1700" s="57"/>
      <c r="G1700" s="57"/>
      <c r="H1700" s="57"/>
      <c r="I1700" s="57"/>
    </row>
    <row r="1701" spans="1:9" x14ac:dyDescent="0.2">
      <c r="A1701" s="70"/>
      <c r="B1701" s="57"/>
      <c r="C1701" s="57"/>
      <c r="D1701" s="57"/>
      <c r="E1701" s="57"/>
      <c r="F1701" s="57"/>
      <c r="G1701" s="57"/>
      <c r="H1701" s="57"/>
      <c r="I1701" s="57"/>
    </row>
    <row r="1702" spans="1:9" x14ac:dyDescent="0.2">
      <c r="A1702" s="70"/>
      <c r="B1702" s="57"/>
      <c r="C1702" s="57"/>
      <c r="D1702" s="57"/>
      <c r="E1702" s="57"/>
      <c r="F1702" s="57"/>
      <c r="G1702" s="57"/>
      <c r="H1702" s="57"/>
      <c r="I1702" s="57"/>
    </row>
    <row r="1703" spans="1:9" x14ac:dyDescent="0.2">
      <c r="A1703" s="70"/>
      <c r="B1703" s="57"/>
      <c r="C1703" s="57"/>
      <c r="D1703" s="57"/>
      <c r="E1703" s="57"/>
      <c r="F1703" s="57"/>
      <c r="G1703" s="57"/>
      <c r="H1703" s="57"/>
      <c r="I1703" s="57"/>
    </row>
    <row r="1704" spans="1:9" x14ac:dyDescent="0.2">
      <c r="A1704" s="70"/>
      <c r="B1704" s="57"/>
      <c r="C1704" s="57"/>
      <c r="D1704" s="57"/>
      <c r="E1704" s="57"/>
      <c r="F1704" s="57"/>
      <c r="G1704" s="57"/>
      <c r="H1704" s="57"/>
      <c r="I1704" s="57"/>
    </row>
    <row r="1705" spans="1:9" x14ac:dyDescent="0.2">
      <c r="A1705" s="70"/>
      <c r="B1705" s="57"/>
      <c r="C1705" s="57"/>
      <c r="D1705" s="57"/>
      <c r="E1705" s="57"/>
      <c r="F1705" s="57"/>
      <c r="G1705" s="57"/>
      <c r="H1705" s="57"/>
      <c r="I1705" s="57"/>
    </row>
    <row r="1706" spans="1:9" x14ac:dyDescent="0.2">
      <c r="A1706" s="70"/>
      <c r="B1706" s="57"/>
      <c r="C1706" s="57"/>
      <c r="D1706" s="57"/>
      <c r="E1706" s="57"/>
      <c r="F1706" s="57"/>
      <c r="G1706" s="57"/>
      <c r="H1706" s="57"/>
      <c r="I1706" s="57"/>
    </row>
    <row r="1707" spans="1:9" x14ac:dyDescent="0.2">
      <c r="A1707" s="70"/>
      <c r="B1707" s="57"/>
      <c r="C1707" s="57"/>
      <c r="D1707" s="57"/>
      <c r="E1707" s="57"/>
      <c r="F1707" s="57"/>
      <c r="G1707" s="57"/>
      <c r="H1707" s="57"/>
      <c r="I1707" s="57"/>
    </row>
    <row r="1708" spans="1:9" x14ac:dyDescent="0.2">
      <c r="A1708" s="70"/>
      <c r="B1708" s="57"/>
      <c r="C1708" s="57"/>
      <c r="D1708" s="57"/>
      <c r="E1708" s="57"/>
      <c r="F1708" s="57"/>
      <c r="G1708" s="57"/>
      <c r="H1708" s="57"/>
      <c r="I1708" s="57"/>
    </row>
    <row r="1709" spans="1:9" x14ac:dyDescent="0.2">
      <c r="A1709" s="70"/>
      <c r="B1709" s="57"/>
      <c r="C1709" s="57"/>
      <c r="D1709" s="57"/>
      <c r="E1709" s="57"/>
      <c r="F1709" s="57"/>
      <c r="G1709" s="57"/>
      <c r="H1709" s="57"/>
      <c r="I1709" s="57"/>
    </row>
    <row r="1710" spans="1:9" x14ac:dyDescent="0.2">
      <c r="A1710" s="70"/>
      <c r="B1710" s="57"/>
      <c r="C1710" s="57"/>
      <c r="D1710" s="57"/>
      <c r="E1710" s="57"/>
      <c r="F1710" s="57"/>
      <c r="G1710" s="57"/>
      <c r="H1710" s="57"/>
      <c r="I1710" s="57"/>
    </row>
    <row r="1711" spans="1:9" x14ac:dyDescent="0.2">
      <c r="A1711" s="70"/>
      <c r="B1711" s="57"/>
      <c r="C1711" s="57"/>
      <c r="D1711" s="57"/>
      <c r="E1711" s="57"/>
      <c r="F1711" s="57"/>
      <c r="G1711" s="57"/>
      <c r="H1711" s="57"/>
      <c r="I1711" s="57"/>
    </row>
    <row r="1712" spans="1:9" x14ac:dyDescent="0.2">
      <c r="A1712" s="70"/>
      <c r="B1712" s="57"/>
      <c r="C1712" s="57"/>
      <c r="D1712" s="57"/>
      <c r="E1712" s="57"/>
      <c r="F1712" s="57"/>
      <c r="G1712" s="57"/>
      <c r="H1712" s="57"/>
      <c r="I1712" s="57"/>
    </row>
    <row r="1713" spans="1:9" x14ac:dyDescent="0.2">
      <c r="A1713" s="70"/>
      <c r="B1713" s="57"/>
      <c r="C1713" s="57"/>
      <c r="D1713" s="57"/>
      <c r="E1713" s="57"/>
      <c r="F1713" s="57"/>
      <c r="G1713" s="57"/>
      <c r="H1713" s="57"/>
      <c r="I1713" s="57"/>
    </row>
    <row r="1714" spans="1:9" x14ac:dyDescent="0.2">
      <c r="A1714" s="70"/>
      <c r="B1714" s="57"/>
      <c r="C1714" s="57"/>
      <c r="D1714" s="57"/>
      <c r="E1714" s="57"/>
      <c r="F1714" s="57"/>
      <c r="G1714" s="57"/>
      <c r="H1714" s="57"/>
      <c r="I1714" s="57"/>
    </row>
    <row r="1715" spans="1:9" x14ac:dyDescent="0.2">
      <c r="A1715" s="70"/>
      <c r="B1715" s="57"/>
      <c r="C1715" s="57"/>
      <c r="D1715" s="57"/>
      <c r="E1715" s="57"/>
      <c r="F1715" s="57"/>
      <c r="G1715" s="57"/>
      <c r="H1715" s="57"/>
      <c r="I1715" s="57"/>
    </row>
    <row r="1716" spans="1:9" x14ac:dyDescent="0.2">
      <c r="A1716" s="70"/>
      <c r="B1716" s="57"/>
      <c r="C1716" s="57"/>
      <c r="D1716" s="57"/>
      <c r="E1716" s="57"/>
      <c r="F1716" s="57"/>
      <c r="G1716" s="57"/>
      <c r="H1716" s="57"/>
      <c r="I1716" s="57"/>
    </row>
    <row r="1717" spans="1:9" x14ac:dyDescent="0.2">
      <c r="A1717" s="70"/>
      <c r="B1717" s="57"/>
      <c r="C1717" s="57"/>
      <c r="D1717" s="57"/>
      <c r="E1717" s="57"/>
      <c r="F1717" s="57"/>
      <c r="G1717" s="57"/>
      <c r="H1717" s="57"/>
      <c r="I1717" s="57"/>
    </row>
    <row r="1718" spans="1:9" x14ac:dyDescent="0.2">
      <c r="A1718" s="70"/>
      <c r="B1718" s="57"/>
      <c r="C1718" s="57"/>
      <c r="D1718" s="57"/>
      <c r="E1718" s="57"/>
      <c r="F1718" s="57"/>
      <c r="G1718" s="57"/>
      <c r="H1718" s="57"/>
      <c r="I1718" s="57"/>
    </row>
    <row r="1719" spans="1:9" x14ac:dyDescent="0.2">
      <c r="A1719" s="70"/>
      <c r="B1719" s="57"/>
      <c r="C1719" s="57"/>
      <c r="D1719" s="57"/>
      <c r="E1719" s="57"/>
      <c r="F1719" s="57"/>
      <c r="G1719" s="57"/>
      <c r="H1719" s="57"/>
      <c r="I1719" s="57"/>
    </row>
    <row r="1720" spans="1:9" x14ac:dyDescent="0.2">
      <c r="A1720" s="70"/>
      <c r="B1720" s="57"/>
      <c r="C1720" s="57"/>
      <c r="D1720" s="57"/>
      <c r="E1720" s="57"/>
      <c r="F1720" s="57"/>
      <c r="G1720" s="57"/>
      <c r="H1720" s="57"/>
      <c r="I1720" s="57"/>
    </row>
    <row r="1721" spans="1:9" x14ac:dyDescent="0.2">
      <c r="A1721" s="70"/>
      <c r="B1721" s="57"/>
      <c r="C1721" s="57"/>
      <c r="D1721" s="57"/>
      <c r="E1721" s="57"/>
      <c r="F1721" s="57"/>
      <c r="G1721" s="57"/>
      <c r="H1721" s="57"/>
      <c r="I1721" s="57"/>
    </row>
    <row r="1722" spans="1:9" x14ac:dyDescent="0.2">
      <c r="A1722" s="70"/>
      <c r="B1722" s="57"/>
      <c r="C1722" s="57"/>
      <c r="D1722" s="57"/>
      <c r="E1722" s="57"/>
      <c r="F1722" s="57"/>
      <c r="G1722" s="57"/>
      <c r="H1722" s="57"/>
      <c r="I1722" s="57"/>
    </row>
    <row r="1723" spans="1:9" x14ac:dyDescent="0.2">
      <c r="A1723" s="70"/>
      <c r="B1723" s="57"/>
      <c r="C1723" s="57"/>
      <c r="D1723" s="57"/>
      <c r="E1723" s="57"/>
      <c r="F1723" s="57"/>
      <c r="G1723" s="57"/>
      <c r="H1723" s="57"/>
      <c r="I1723" s="57"/>
    </row>
    <row r="1724" spans="1:9" x14ac:dyDescent="0.2">
      <c r="A1724" s="70"/>
      <c r="B1724" s="57"/>
      <c r="C1724" s="57"/>
      <c r="D1724" s="57"/>
      <c r="E1724" s="57"/>
      <c r="F1724" s="57"/>
      <c r="G1724" s="57"/>
      <c r="H1724" s="57"/>
      <c r="I1724" s="57"/>
    </row>
    <row r="1725" spans="1:9" x14ac:dyDescent="0.2">
      <c r="A1725" s="70"/>
      <c r="B1725" s="57"/>
      <c r="C1725" s="57"/>
      <c r="D1725" s="57"/>
      <c r="E1725" s="57"/>
      <c r="F1725" s="57"/>
      <c r="G1725" s="57"/>
      <c r="H1725" s="57"/>
      <c r="I1725" s="57"/>
    </row>
    <row r="1726" spans="1:9" x14ac:dyDescent="0.2">
      <c r="A1726" s="70"/>
      <c r="B1726" s="57"/>
      <c r="C1726" s="57"/>
      <c r="D1726" s="57"/>
      <c r="E1726" s="57"/>
      <c r="F1726" s="57"/>
      <c r="G1726" s="57"/>
      <c r="H1726" s="57"/>
      <c r="I1726" s="57"/>
    </row>
    <row r="1727" spans="1:9" x14ac:dyDescent="0.2">
      <c r="A1727" s="70"/>
      <c r="B1727" s="57"/>
      <c r="C1727" s="57"/>
      <c r="D1727" s="57"/>
      <c r="E1727" s="57"/>
      <c r="F1727" s="57"/>
      <c r="G1727" s="57"/>
      <c r="H1727" s="57"/>
      <c r="I1727" s="57"/>
    </row>
    <row r="1728" spans="1:9" x14ac:dyDescent="0.2">
      <c r="A1728" s="70"/>
      <c r="B1728" s="57"/>
      <c r="C1728" s="57"/>
      <c r="D1728" s="57"/>
      <c r="E1728" s="57"/>
      <c r="F1728" s="57"/>
      <c r="G1728" s="57"/>
      <c r="H1728" s="57"/>
      <c r="I1728" s="57"/>
    </row>
    <row r="1729" spans="1:9" x14ac:dyDescent="0.2">
      <c r="A1729" s="70"/>
      <c r="B1729" s="57"/>
      <c r="C1729" s="57"/>
      <c r="D1729" s="57"/>
      <c r="E1729" s="57"/>
      <c r="F1729" s="57"/>
      <c r="G1729" s="57"/>
      <c r="H1729" s="57"/>
      <c r="I1729" s="57"/>
    </row>
    <row r="1730" spans="1:9" x14ac:dyDescent="0.2">
      <c r="A1730" s="70"/>
      <c r="B1730" s="57"/>
      <c r="C1730" s="57"/>
      <c r="D1730" s="57"/>
      <c r="E1730" s="57"/>
      <c r="F1730" s="57"/>
      <c r="G1730" s="57"/>
      <c r="H1730" s="57"/>
      <c r="I1730" s="57"/>
    </row>
    <row r="1731" spans="1:9" x14ac:dyDescent="0.2">
      <c r="A1731" s="70"/>
      <c r="B1731" s="57"/>
      <c r="C1731" s="57"/>
      <c r="D1731" s="57"/>
      <c r="E1731" s="57"/>
      <c r="F1731" s="57"/>
      <c r="G1731" s="57"/>
      <c r="H1731" s="57"/>
      <c r="I1731" s="57"/>
    </row>
    <row r="1732" spans="1:9" x14ac:dyDescent="0.2">
      <c r="A1732" s="70"/>
      <c r="B1732" s="57"/>
      <c r="C1732" s="57"/>
      <c r="D1732" s="57"/>
      <c r="E1732" s="57"/>
      <c r="F1732" s="57"/>
      <c r="G1732" s="57"/>
      <c r="H1732" s="57"/>
      <c r="I1732" s="57"/>
    </row>
    <row r="1733" spans="1:9" x14ac:dyDescent="0.2">
      <c r="A1733" s="70"/>
      <c r="B1733" s="57"/>
      <c r="C1733" s="57"/>
      <c r="D1733" s="57"/>
      <c r="E1733" s="57"/>
      <c r="F1733" s="57"/>
      <c r="G1733" s="57"/>
      <c r="H1733" s="57"/>
      <c r="I1733" s="57"/>
    </row>
    <row r="1734" spans="1:9" x14ac:dyDescent="0.2">
      <c r="A1734" s="70"/>
      <c r="B1734" s="57"/>
      <c r="C1734" s="57"/>
      <c r="D1734" s="57"/>
      <c r="E1734" s="57"/>
      <c r="F1734" s="57"/>
      <c r="G1734" s="57"/>
      <c r="H1734" s="57"/>
      <c r="I1734" s="57"/>
    </row>
    <row r="1735" spans="1:9" x14ac:dyDescent="0.2">
      <c r="A1735" s="70"/>
      <c r="B1735" s="57"/>
      <c r="C1735" s="57"/>
      <c r="D1735" s="57"/>
      <c r="E1735" s="57"/>
      <c r="F1735" s="57"/>
      <c r="G1735" s="57"/>
      <c r="H1735" s="57"/>
      <c r="I1735" s="57"/>
    </row>
    <row r="1736" spans="1:9" x14ac:dyDescent="0.2">
      <c r="A1736" s="70"/>
      <c r="B1736" s="57"/>
      <c r="C1736" s="57"/>
      <c r="D1736" s="57"/>
      <c r="E1736" s="57"/>
      <c r="F1736" s="57"/>
      <c r="G1736" s="57"/>
      <c r="H1736" s="57"/>
      <c r="I1736" s="57"/>
    </row>
    <row r="1737" spans="1:9" x14ac:dyDescent="0.2">
      <c r="A1737" s="70"/>
      <c r="B1737" s="57"/>
      <c r="C1737" s="57"/>
      <c r="D1737" s="57"/>
      <c r="E1737" s="57"/>
      <c r="F1737" s="57"/>
      <c r="G1737" s="57"/>
      <c r="H1737" s="57"/>
      <c r="I1737" s="57"/>
    </row>
    <row r="1738" spans="1:9" x14ac:dyDescent="0.2">
      <c r="A1738" s="70"/>
      <c r="B1738" s="57"/>
      <c r="C1738" s="57"/>
      <c r="D1738" s="57"/>
      <c r="E1738" s="57"/>
      <c r="F1738" s="57"/>
      <c r="G1738" s="57"/>
      <c r="H1738" s="57"/>
      <c r="I1738" s="57"/>
    </row>
    <row r="1739" spans="1:9" x14ac:dyDescent="0.2">
      <c r="A1739" s="70"/>
      <c r="B1739" s="57"/>
      <c r="C1739" s="57"/>
      <c r="D1739" s="57"/>
      <c r="E1739" s="57"/>
      <c r="F1739" s="57"/>
      <c r="G1739" s="57"/>
      <c r="H1739" s="57"/>
      <c r="I1739" s="57"/>
    </row>
    <row r="1740" spans="1:9" x14ac:dyDescent="0.2">
      <c r="A1740" s="70"/>
      <c r="B1740" s="57"/>
      <c r="C1740" s="57"/>
      <c r="D1740" s="57"/>
      <c r="E1740" s="57"/>
      <c r="F1740" s="57"/>
      <c r="G1740" s="57"/>
      <c r="H1740" s="57"/>
      <c r="I1740" s="57"/>
    </row>
    <row r="1741" spans="1:9" x14ac:dyDescent="0.2">
      <c r="A1741" s="70"/>
      <c r="B1741" s="57"/>
      <c r="C1741" s="57"/>
      <c r="D1741" s="57"/>
      <c r="E1741" s="57"/>
      <c r="F1741" s="57"/>
      <c r="G1741" s="57"/>
      <c r="H1741" s="57"/>
      <c r="I1741" s="57"/>
    </row>
    <row r="1742" spans="1:9" x14ac:dyDescent="0.2">
      <c r="A1742" s="70"/>
      <c r="B1742" s="57"/>
      <c r="C1742" s="57"/>
      <c r="D1742" s="57"/>
      <c r="E1742" s="57"/>
      <c r="F1742" s="57"/>
      <c r="G1742" s="57"/>
      <c r="H1742" s="57"/>
      <c r="I1742" s="57"/>
    </row>
    <row r="1743" spans="1:9" x14ac:dyDescent="0.2">
      <c r="A1743" s="70"/>
      <c r="B1743" s="57"/>
      <c r="C1743" s="57"/>
      <c r="D1743" s="57"/>
      <c r="E1743" s="57"/>
      <c r="F1743" s="57"/>
      <c r="G1743" s="57"/>
      <c r="H1743" s="57"/>
      <c r="I1743" s="57"/>
    </row>
    <row r="1744" spans="1:9" x14ac:dyDescent="0.2">
      <c r="A1744" s="70"/>
      <c r="B1744" s="57"/>
      <c r="C1744" s="57"/>
      <c r="D1744" s="57"/>
      <c r="E1744" s="57"/>
      <c r="F1744" s="57"/>
      <c r="G1744" s="57"/>
      <c r="H1744" s="57"/>
      <c r="I1744" s="57"/>
    </row>
    <row r="1745" spans="1:9" x14ac:dyDescent="0.2">
      <c r="A1745" s="70"/>
      <c r="B1745" s="57"/>
      <c r="C1745" s="57"/>
      <c r="D1745" s="57"/>
      <c r="E1745" s="57"/>
      <c r="F1745" s="57"/>
      <c r="G1745" s="57"/>
      <c r="H1745" s="57"/>
      <c r="I1745" s="57"/>
    </row>
    <row r="1746" spans="1:9" x14ac:dyDescent="0.2">
      <c r="A1746" s="70"/>
      <c r="B1746" s="57"/>
      <c r="C1746" s="57"/>
      <c r="D1746" s="57"/>
      <c r="E1746" s="57"/>
      <c r="F1746" s="57"/>
      <c r="G1746" s="57"/>
      <c r="H1746" s="57"/>
      <c r="I1746" s="57"/>
    </row>
    <row r="1747" spans="1:9" x14ac:dyDescent="0.2">
      <c r="A1747" s="70"/>
      <c r="B1747" s="57"/>
      <c r="C1747" s="57"/>
      <c r="D1747" s="57"/>
      <c r="E1747" s="57"/>
      <c r="F1747" s="57"/>
      <c r="G1747" s="57"/>
      <c r="H1747" s="57"/>
      <c r="I1747" s="57"/>
    </row>
    <row r="1748" spans="1:9" x14ac:dyDescent="0.2">
      <c r="A1748" s="70"/>
      <c r="B1748" s="57"/>
      <c r="C1748" s="57"/>
      <c r="D1748" s="57"/>
      <c r="E1748" s="57"/>
      <c r="F1748" s="57"/>
      <c r="G1748" s="57"/>
      <c r="H1748" s="57"/>
      <c r="I1748" s="57"/>
    </row>
    <row r="1749" spans="1:9" x14ac:dyDescent="0.2">
      <c r="A1749" s="70"/>
      <c r="B1749" s="57"/>
      <c r="C1749" s="57"/>
      <c r="D1749" s="57"/>
      <c r="E1749" s="57"/>
      <c r="F1749" s="57"/>
      <c r="G1749" s="57"/>
      <c r="H1749" s="57"/>
      <c r="I1749" s="57"/>
    </row>
    <row r="1750" spans="1:9" x14ac:dyDescent="0.2">
      <c r="A1750" s="70"/>
      <c r="B1750" s="57"/>
      <c r="C1750" s="57"/>
      <c r="D1750" s="57"/>
      <c r="E1750" s="57"/>
      <c r="F1750" s="57"/>
      <c r="G1750" s="57"/>
      <c r="H1750" s="57"/>
      <c r="I1750" s="57"/>
    </row>
    <row r="1751" spans="1:9" x14ac:dyDescent="0.2">
      <c r="A1751" s="70"/>
      <c r="B1751" s="57"/>
      <c r="C1751" s="57"/>
      <c r="D1751" s="57"/>
      <c r="E1751" s="57"/>
      <c r="F1751" s="57"/>
      <c r="G1751" s="57"/>
      <c r="H1751" s="57"/>
      <c r="I1751" s="57"/>
    </row>
    <row r="1752" spans="1:9" x14ac:dyDescent="0.2">
      <c r="A1752" s="70"/>
      <c r="B1752" s="57"/>
      <c r="C1752" s="57"/>
      <c r="D1752" s="57"/>
      <c r="E1752" s="57"/>
      <c r="F1752" s="57"/>
      <c r="G1752" s="57"/>
      <c r="H1752" s="57"/>
      <c r="I1752" s="57"/>
    </row>
    <row r="1753" spans="1:9" x14ac:dyDescent="0.2">
      <c r="A1753" s="70"/>
      <c r="B1753" s="57"/>
      <c r="C1753" s="57"/>
      <c r="D1753" s="57"/>
      <c r="E1753" s="57"/>
      <c r="F1753" s="57"/>
      <c r="G1753" s="57"/>
      <c r="H1753" s="57"/>
      <c r="I1753" s="57"/>
    </row>
    <row r="1754" spans="1:9" x14ac:dyDescent="0.2">
      <c r="A1754" s="70"/>
      <c r="B1754" s="57"/>
      <c r="C1754" s="57"/>
      <c r="D1754" s="57"/>
      <c r="E1754" s="57"/>
      <c r="F1754" s="57"/>
      <c r="G1754" s="57"/>
      <c r="H1754" s="57"/>
      <c r="I1754" s="57"/>
    </row>
    <row r="1755" spans="1:9" x14ac:dyDescent="0.2">
      <c r="A1755" s="70"/>
      <c r="B1755" s="57"/>
      <c r="C1755" s="57"/>
      <c r="D1755" s="57"/>
      <c r="E1755" s="57"/>
      <c r="F1755" s="57"/>
      <c r="G1755" s="57"/>
      <c r="H1755" s="57"/>
      <c r="I1755" s="57"/>
    </row>
    <row r="1756" spans="1:9" x14ac:dyDescent="0.2">
      <c r="A1756" s="70"/>
      <c r="B1756" s="57"/>
      <c r="C1756" s="57"/>
      <c r="D1756" s="57"/>
      <c r="E1756" s="57"/>
      <c r="F1756" s="57"/>
      <c r="G1756" s="57"/>
      <c r="H1756" s="57"/>
      <c r="I1756" s="57"/>
    </row>
    <row r="1757" spans="1:9" x14ac:dyDescent="0.2">
      <c r="A1757" s="70"/>
      <c r="B1757" s="57"/>
      <c r="C1757" s="57"/>
      <c r="D1757" s="57"/>
      <c r="E1757" s="57"/>
      <c r="F1757" s="57"/>
      <c r="G1757" s="57"/>
      <c r="H1757" s="57"/>
      <c r="I1757" s="57"/>
    </row>
    <row r="1758" spans="1:9" x14ac:dyDescent="0.2">
      <c r="A1758" s="70"/>
      <c r="B1758" s="57"/>
      <c r="C1758" s="57"/>
      <c r="D1758" s="57"/>
      <c r="E1758" s="57"/>
      <c r="F1758" s="57"/>
      <c r="G1758" s="57"/>
      <c r="H1758" s="57"/>
      <c r="I1758" s="57"/>
    </row>
    <row r="1759" spans="1:9" x14ac:dyDescent="0.2">
      <c r="A1759" s="70"/>
      <c r="B1759" s="57"/>
      <c r="C1759" s="57"/>
      <c r="D1759" s="57"/>
      <c r="E1759" s="57"/>
      <c r="F1759" s="57"/>
      <c r="G1759" s="57"/>
      <c r="H1759" s="57"/>
      <c r="I1759" s="57"/>
    </row>
    <row r="1760" spans="1:9" x14ac:dyDescent="0.2">
      <c r="A1760" s="70"/>
      <c r="B1760" s="57"/>
      <c r="C1760" s="57"/>
      <c r="D1760" s="57"/>
      <c r="E1760" s="57"/>
      <c r="F1760" s="57"/>
      <c r="G1760" s="57"/>
      <c r="H1760" s="57"/>
      <c r="I1760" s="57"/>
    </row>
    <row r="1761" spans="1:9" x14ac:dyDescent="0.2">
      <c r="A1761" s="70"/>
      <c r="B1761" s="57"/>
      <c r="C1761" s="57"/>
      <c r="D1761" s="57"/>
      <c r="E1761" s="57"/>
      <c r="F1761" s="57"/>
      <c r="G1761" s="57"/>
      <c r="H1761" s="57"/>
      <c r="I1761" s="57"/>
    </row>
    <row r="1762" spans="1:9" x14ac:dyDescent="0.2">
      <c r="A1762" s="70"/>
      <c r="B1762" s="57"/>
      <c r="C1762" s="57"/>
      <c r="D1762" s="57"/>
      <c r="E1762" s="57"/>
      <c r="F1762" s="57"/>
      <c r="G1762" s="57"/>
      <c r="H1762" s="57"/>
      <c r="I1762" s="57"/>
    </row>
    <row r="1763" spans="1:9" x14ac:dyDescent="0.2">
      <c r="A1763" s="70"/>
      <c r="B1763" s="57"/>
      <c r="C1763" s="57"/>
      <c r="D1763" s="57"/>
      <c r="E1763" s="57"/>
      <c r="F1763" s="57"/>
      <c r="G1763" s="57"/>
      <c r="H1763" s="57"/>
      <c r="I1763" s="57"/>
    </row>
    <row r="1764" spans="1:9" x14ac:dyDescent="0.2">
      <c r="A1764" s="70"/>
      <c r="B1764" s="57"/>
      <c r="C1764" s="57"/>
      <c r="D1764" s="57"/>
      <c r="E1764" s="57"/>
      <c r="F1764" s="57"/>
      <c r="G1764" s="57"/>
      <c r="H1764" s="57"/>
      <c r="I1764" s="57"/>
    </row>
    <row r="1765" spans="1:9" x14ac:dyDescent="0.2">
      <c r="A1765" s="70"/>
      <c r="B1765" s="57"/>
      <c r="C1765" s="57"/>
      <c r="D1765" s="57"/>
      <c r="E1765" s="57"/>
      <c r="F1765" s="57"/>
      <c r="G1765" s="57"/>
      <c r="H1765" s="57"/>
      <c r="I1765" s="57"/>
    </row>
    <row r="1766" spans="1:9" x14ac:dyDescent="0.2">
      <c r="A1766" s="70"/>
      <c r="B1766" s="57"/>
      <c r="C1766" s="57"/>
      <c r="D1766" s="57"/>
      <c r="E1766" s="57"/>
      <c r="F1766" s="57"/>
      <c r="G1766" s="57"/>
      <c r="H1766" s="57"/>
      <c r="I1766" s="57"/>
    </row>
    <row r="1767" spans="1:9" x14ac:dyDescent="0.2">
      <c r="A1767" s="70"/>
      <c r="B1767" s="57"/>
      <c r="C1767" s="57"/>
      <c r="D1767" s="57"/>
      <c r="E1767" s="57"/>
      <c r="F1767" s="57"/>
      <c r="G1767" s="57"/>
      <c r="H1767" s="57"/>
      <c r="I1767" s="57"/>
    </row>
    <row r="1768" spans="1:9" x14ac:dyDescent="0.2">
      <c r="A1768" s="70"/>
      <c r="B1768" s="57"/>
      <c r="C1768" s="57"/>
      <c r="D1768" s="57"/>
      <c r="E1768" s="57"/>
      <c r="F1768" s="57"/>
      <c r="G1768" s="57"/>
      <c r="H1768" s="57"/>
      <c r="I1768" s="57"/>
    </row>
    <row r="1769" spans="1:9" x14ac:dyDescent="0.2">
      <c r="A1769" s="70"/>
      <c r="B1769" s="57"/>
      <c r="C1769" s="57"/>
      <c r="D1769" s="57"/>
      <c r="E1769" s="57"/>
      <c r="F1769" s="57"/>
      <c r="G1769" s="57"/>
      <c r="H1769" s="57"/>
      <c r="I1769" s="57"/>
    </row>
    <row r="1770" spans="1:9" x14ac:dyDescent="0.2">
      <c r="A1770" s="70"/>
      <c r="B1770" s="57"/>
      <c r="C1770" s="57"/>
      <c r="D1770" s="57"/>
      <c r="E1770" s="57"/>
      <c r="F1770" s="57"/>
      <c r="G1770" s="57"/>
      <c r="H1770" s="57"/>
      <c r="I1770" s="57"/>
    </row>
    <row r="1771" spans="1:9" x14ac:dyDescent="0.2">
      <c r="A1771" s="70"/>
      <c r="B1771" s="57"/>
      <c r="C1771" s="57"/>
      <c r="D1771" s="57"/>
      <c r="E1771" s="57"/>
      <c r="F1771" s="57"/>
      <c r="G1771" s="57"/>
      <c r="H1771" s="57"/>
      <c r="I1771" s="57"/>
    </row>
    <row r="1772" spans="1:9" x14ac:dyDescent="0.2">
      <c r="A1772" s="70"/>
      <c r="B1772" s="57"/>
      <c r="C1772" s="57"/>
      <c r="D1772" s="57"/>
      <c r="E1772" s="57"/>
      <c r="F1772" s="57"/>
      <c r="G1772" s="57"/>
      <c r="H1772" s="57"/>
      <c r="I1772" s="57"/>
    </row>
    <row r="1773" spans="1:9" x14ac:dyDescent="0.2">
      <c r="A1773" s="70"/>
      <c r="B1773" s="57"/>
      <c r="C1773" s="57"/>
      <c r="D1773" s="57"/>
      <c r="E1773" s="57"/>
      <c r="F1773" s="57"/>
      <c r="G1773" s="57"/>
      <c r="H1773" s="57"/>
      <c r="I1773" s="57"/>
    </row>
    <row r="1774" spans="1:9" x14ac:dyDescent="0.2">
      <c r="A1774" s="70"/>
      <c r="B1774" s="57"/>
      <c r="C1774" s="57"/>
      <c r="D1774" s="57"/>
      <c r="E1774" s="57"/>
      <c r="F1774" s="57"/>
      <c r="G1774" s="57"/>
      <c r="H1774" s="57"/>
      <c r="I1774" s="57"/>
    </row>
    <row r="1775" spans="1:9" x14ac:dyDescent="0.2">
      <c r="A1775" s="70"/>
      <c r="B1775" s="57"/>
      <c r="C1775" s="57"/>
      <c r="D1775" s="57"/>
      <c r="E1775" s="57"/>
      <c r="F1775" s="57"/>
      <c r="G1775" s="57"/>
      <c r="H1775" s="57"/>
      <c r="I1775" s="57"/>
    </row>
    <row r="1776" spans="1:9" x14ac:dyDescent="0.2">
      <c r="A1776" s="70"/>
      <c r="B1776" s="57"/>
      <c r="C1776" s="57"/>
      <c r="D1776" s="57"/>
      <c r="E1776" s="57"/>
      <c r="F1776" s="57"/>
      <c r="G1776" s="57"/>
      <c r="H1776" s="57"/>
      <c r="I1776" s="57"/>
    </row>
    <row r="1777" spans="1:9" x14ac:dyDescent="0.2">
      <c r="A1777" s="70"/>
      <c r="B1777" s="57"/>
      <c r="C1777" s="57"/>
      <c r="D1777" s="57"/>
      <c r="E1777" s="57"/>
      <c r="F1777" s="57"/>
      <c r="G1777" s="57"/>
      <c r="H1777" s="57"/>
      <c r="I1777" s="57"/>
    </row>
    <row r="1778" spans="1:9" x14ac:dyDescent="0.2">
      <c r="A1778" s="70"/>
      <c r="B1778" s="57"/>
      <c r="C1778" s="57"/>
      <c r="D1778" s="57"/>
      <c r="E1778" s="57"/>
      <c r="F1778" s="57"/>
      <c r="G1778" s="57"/>
      <c r="H1778" s="57"/>
      <c r="I1778" s="57"/>
    </row>
    <row r="1779" spans="1:9" x14ac:dyDescent="0.2">
      <c r="A1779" s="70"/>
      <c r="B1779" s="57"/>
      <c r="C1779" s="57"/>
      <c r="D1779" s="57"/>
      <c r="E1779" s="57"/>
      <c r="F1779" s="57"/>
      <c r="G1779" s="57"/>
      <c r="H1779" s="57"/>
      <c r="I1779" s="57"/>
    </row>
    <row r="1780" spans="1:9" x14ac:dyDescent="0.2">
      <c r="A1780" s="70"/>
      <c r="B1780" s="57"/>
      <c r="C1780" s="57"/>
      <c r="D1780" s="57"/>
      <c r="E1780" s="57"/>
      <c r="F1780" s="57"/>
      <c r="G1780" s="57"/>
      <c r="H1780" s="57"/>
      <c r="I1780" s="57"/>
    </row>
    <row r="1781" spans="1:9" x14ac:dyDescent="0.2">
      <c r="A1781" s="70"/>
      <c r="B1781" s="57"/>
      <c r="C1781" s="57"/>
      <c r="D1781" s="57"/>
      <c r="E1781" s="57"/>
      <c r="F1781" s="57"/>
      <c r="G1781" s="57"/>
      <c r="H1781" s="57"/>
      <c r="I1781" s="57"/>
    </row>
    <row r="1782" spans="1:9" x14ac:dyDescent="0.2">
      <c r="A1782" s="70"/>
      <c r="B1782" s="57"/>
      <c r="C1782" s="57"/>
      <c r="D1782" s="57"/>
      <c r="E1782" s="57"/>
      <c r="F1782" s="57"/>
      <c r="G1782" s="57"/>
      <c r="H1782" s="57"/>
      <c r="I1782" s="57"/>
    </row>
    <row r="1783" spans="1:9" x14ac:dyDescent="0.2">
      <c r="A1783" s="70"/>
      <c r="B1783" s="57"/>
      <c r="C1783" s="57"/>
      <c r="D1783" s="57"/>
      <c r="E1783" s="57"/>
      <c r="F1783" s="57"/>
      <c r="G1783" s="57"/>
      <c r="H1783" s="57"/>
      <c r="I1783" s="57"/>
    </row>
    <row r="1784" spans="1:9" x14ac:dyDescent="0.2">
      <c r="A1784" s="70"/>
      <c r="B1784" s="57"/>
      <c r="C1784" s="57"/>
      <c r="D1784" s="57"/>
      <c r="E1784" s="57"/>
      <c r="F1784" s="57"/>
      <c r="G1784" s="57"/>
      <c r="H1784" s="57"/>
      <c r="I1784" s="57"/>
    </row>
    <row r="1785" spans="1:9" x14ac:dyDescent="0.2">
      <c r="A1785" s="70"/>
      <c r="B1785" s="57"/>
      <c r="C1785" s="57"/>
      <c r="D1785" s="57"/>
      <c r="E1785" s="57"/>
      <c r="F1785" s="57"/>
      <c r="G1785" s="57"/>
      <c r="H1785" s="57"/>
      <c r="I1785" s="57"/>
    </row>
    <row r="1786" spans="1:9" x14ac:dyDescent="0.2">
      <c r="A1786" s="70"/>
      <c r="B1786" s="57"/>
      <c r="C1786" s="57"/>
      <c r="D1786" s="57"/>
      <c r="E1786" s="57"/>
      <c r="F1786" s="57"/>
      <c r="G1786" s="57"/>
      <c r="H1786" s="57"/>
      <c r="I1786" s="57"/>
    </row>
    <row r="1787" spans="1:9" x14ac:dyDescent="0.2">
      <c r="A1787" s="70"/>
      <c r="B1787" s="57"/>
      <c r="C1787" s="57"/>
      <c r="D1787" s="57"/>
      <c r="E1787" s="57"/>
      <c r="F1787" s="57"/>
      <c r="G1787" s="57"/>
      <c r="H1787" s="57"/>
      <c r="I1787" s="57"/>
    </row>
    <row r="1788" spans="1:9" x14ac:dyDescent="0.2">
      <c r="A1788" s="70"/>
      <c r="B1788" s="57"/>
      <c r="C1788" s="57"/>
      <c r="D1788" s="57"/>
      <c r="E1788" s="57"/>
      <c r="F1788" s="57"/>
      <c r="G1788" s="57"/>
      <c r="H1788" s="57"/>
      <c r="I1788" s="57"/>
    </row>
    <row r="1789" spans="1:9" x14ac:dyDescent="0.2">
      <c r="A1789" s="70"/>
      <c r="B1789" s="57"/>
      <c r="C1789" s="57"/>
      <c r="D1789" s="57"/>
      <c r="E1789" s="57"/>
      <c r="F1789" s="57"/>
      <c r="G1789" s="57"/>
      <c r="H1789" s="57"/>
      <c r="I1789" s="57"/>
    </row>
    <row r="1790" spans="1:9" x14ac:dyDescent="0.2">
      <c r="A1790" s="70"/>
      <c r="B1790" s="57"/>
      <c r="C1790" s="57"/>
      <c r="D1790" s="57"/>
      <c r="E1790" s="57"/>
      <c r="F1790" s="57"/>
      <c r="G1790" s="57"/>
      <c r="H1790" s="57"/>
      <c r="I1790" s="57"/>
    </row>
    <row r="1791" spans="1:9" x14ac:dyDescent="0.2">
      <c r="A1791" s="70"/>
      <c r="B1791" s="57"/>
      <c r="C1791" s="57"/>
      <c r="D1791" s="57"/>
      <c r="E1791" s="57"/>
      <c r="F1791" s="57"/>
      <c r="G1791" s="57"/>
      <c r="H1791" s="57"/>
      <c r="I1791" s="57"/>
    </row>
    <row r="1792" spans="1:9" x14ac:dyDescent="0.2">
      <c r="A1792" s="70"/>
      <c r="B1792" s="57"/>
      <c r="C1792" s="57"/>
      <c r="D1792" s="57"/>
      <c r="E1792" s="57"/>
      <c r="F1792" s="57"/>
      <c r="G1792" s="57"/>
      <c r="H1792" s="57"/>
      <c r="I1792" s="57"/>
    </row>
    <row r="1793" spans="1:9" x14ac:dyDescent="0.2">
      <c r="A1793" s="70"/>
      <c r="B1793" s="57"/>
      <c r="C1793" s="57"/>
      <c r="D1793" s="57"/>
      <c r="E1793" s="57"/>
      <c r="F1793" s="57"/>
      <c r="G1793" s="57"/>
      <c r="H1793" s="57"/>
      <c r="I1793" s="57"/>
    </row>
    <row r="1794" spans="1:9" x14ac:dyDescent="0.2">
      <c r="A1794" s="70"/>
      <c r="B1794" s="57"/>
      <c r="C1794" s="57"/>
      <c r="D1794" s="57"/>
      <c r="E1794" s="57"/>
      <c r="F1794" s="57"/>
      <c r="G1794" s="57"/>
      <c r="H1794" s="57"/>
      <c r="I1794" s="57"/>
    </row>
    <row r="1795" spans="1:9" x14ac:dyDescent="0.2">
      <c r="A1795" s="70"/>
      <c r="B1795" s="57"/>
      <c r="C1795" s="57"/>
      <c r="D1795" s="57"/>
      <c r="E1795" s="57"/>
      <c r="F1795" s="57"/>
      <c r="G1795" s="57"/>
      <c r="H1795" s="57"/>
      <c r="I1795" s="57"/>
    </row>
    <row r="1796" spans="1:9" x14ac:dyDescent="0.2">
      <c r="A1796" s="70"/>
      <c r="B1796" s="57"/>
      <c r="C1796" s="57"/>
      <c r="D1796" s="57"/>
      <c r="E1796" s="57"/>
      <c r="F1796" s="57"/>
      <c r="G1796" s="57"/>
      <c r="H1796" s="57"/>
      <c r="I1796" s="57"/>
    </row>
    <row r="1797" spans="1:9" x14ac:dyDescent="0.2">
      <c r="A1797" s="70"/>
      <c r="B1797" s="57"/>
      <c r="C1797" s="57"/>
      <c r="D1797" s="57"/>
      <c r="E1797" s="57"/>
      <c r="F1797" s="57"/>
      <c r="G1797" s="57"/>
      <c r="H1797" s="57"/>
      <c r="I1797" s="57"/>
    </row>
    <row r="1798" spans="1:9" x14ac:dyDescent="0.2">
      <c r="A1798" s="70"/>
      <c r="B1798" s="57"/>
      <c r="C1798" s="57"/>
      <c r="D1798" s="57"/>
      <c r="E1798" s="57"/>
      <c r="F1798" s="57"/>
      <c r="G1798" s="57"/>
      <c r="H1798" s="57"/>
      <c r="I1798" s="57"/>
    </row>
    <row r="1799" spans="1:9" x14ac:dyDescent="0.2">
      <c r="A1799" s="70"/>
      <c r="B1799" s="57"/>
      <c r="C1799" s="57"/>
      <c r="D1799" s="57"/>
      <c r="E1799" s="57"/>
      <c r="F1799" s="57"/>
      <c r="G1799" s="57"/>
      <c r="H1799" s="57"/>
      <c r="I1799" s="57"/>
    </row>
    <row r="1800" spans="1:9" x14ac:dyDescent="0.2">
      <c r="A1800" s="70"/>
      <c r="B1800" s="57"/>
      <c r="C1800" s="57"/>
      <c r="D1800" s="57"/>
      <c r="E1800" s="57"/>
      <c r="F1800" s="57"/>
      <c r="G1800" s="57"/>
      <c r="H1800" s="57"/>
      <c r="I1800" s="57"/>
    </row>
    <row r="1801" spans="1:9" x14ac:dyDescent="0.2">
      <c r="A1801" s="70"/>
      <c r="B1801" s="57"/>
      <c r="C1801" s="57"/>
      <c r="D1801" s="57"/>
      <c r="E1801" s="57"/>
      <c r="F1801" s="57"/>
      <c r="G1801" s="57"/>
      <c r="H1801" s="57"/>
      <c r="I1801" s="57"/>
    </row>
    <row r="1802" spans="1:9" x14ac:dyDescent="0.2">
      <c r="A1802" s="70"/>
      <c r="B1802" s="57"/>
      <c r="C1802" s="57"/>
      <c r="D1802" s="57"/>
      <c r="E1802" s="57"/>
      <c r="F1802" s="57"/>
      <c r="G1802" s="57"/>
      <c r="H1802" s="57"/>
      <c r="I1802" s="57"/>
    </row>
    <row r="1803" spans="1:9" x14ac:dyDescent="0.2">
      <c r="A1803" s="70"/>
      <c r="B1803" s="57"/>
      <c r="C1803" s="57"/>
      <c r="D1803" s="57"/>
      <c r="E1803" s="57"/>
      <c r="F1803" s="57"/>
      <c r="G1803" s="57"/>
      <c r="H1803" s="57"/>
      <c r="I1803" s="57"/>
    </row>
    <row r="1804" spans="1:9" x14ac:dyDescent="0.2">
      <c r="A1804" s="70"/>
      <c r="B1804" s="57"/>
      <c r="C1804" s="57"/>
      <c r="D1804" s="57"/>
      <c r="E1804" s="57"/>
      <c r="F1804" s="57"/>
      <c r="G1804" s="57"/>
      <c r="H1804" s="57"/>
      <c r="I1804" s="57"/>
    </row>
    <row r="1805" spans="1:9" x14ac:dyDescent="0.2">
      <c r="A1805" s="70"/>
      <c r="B1805" s="57"/>
      <c r="C1805" s="57"/>
      <c r="D1805" s="57"/>
      <c r="E1805" s="57"/>
      <c r="F1805" s="57"/>
      <c r="G1805" s="57"/>
      <c r="H1805" s="57"/>
      <c r="I1805" s="57"/>
    </row>
    <row r="1806" spans="1:9" x14ac:dyDescent="0.2">
      <c r="A1806" s="70"/>
      <c r="B1806" s="57"/>
      <c r="C1806" s="57"/>
      <c r="D1806" s="57"/>
      <c r="E1806" s="57"/>
      <c r="F1806" s="57"/>
      <c r="G1806" s="57"/>
      <c r="H1806" s="57"/>
      <c r="I1806" s="57"/>
    </row>
    <row r="1807" spans="1:9" x14ac:dyDescent="0.2">
      <c r="A1807" s="70"/>
      <c r="B1807" s="57"/>
      <c r="C1807" s="57"/>
      <c r="D1807" s="57"/>
      <c r="E1807" s="57"/>
      <c r="F1807" s="57"/>
      <c r="G1807" s="57"/>
      <c r="H1807" s="57"/>
      <c r="I1807" s="57"/>
    </row>
    <row r="1808" spans="1:9" x14ac:dyDescent="0.2">
      <c r="A1808" s="70"/>
      <c r="B1808" s="57"/>
      <c r="C1808" s="57"/>
      <c r="D1808" s="57"/>
      <c r="E1808" s="57"/>
      <c r="F1808" s="57"/>
      <c r="G1808" s="57"/>
      <c r="H1808" s="57"/>
      <c r="I1808" s="57"/>
    </row>
    <row r="1809" spans="1:9" x14ac:dyDescent="0.2">
      <c r="A1809" s="70"/>
      <c r="B1809" s="57"/>
      <c r="C1809" s="57"/>
      <c r="D1809" s="57"/>
      <c r="E1809" s="57"/>
      <c r="F1809" s="57"/>
      <c r="G1809" s="57"/>
      <c r="H1809" s="57"/>
      <c r="I1809" s="57"/>
    </row>
    <row r="1810" spans="1:9" x14ac:dyDescent="0.2">
      <c r="A1810" s="70"/>
      <c r="B1810" s="57"/>
      <c r="C1810" s="57"/>
      <c r="D1810" s="57"/>
      <c r="E1810" s="57"/>
      <c r="F1810" s="57"/>
      <c r="G1810" s="57"/>
      <c r="H1810" s="57"/>
      <c r="I1810" s="57"/>
    </row>
    <row r="1811" spans="1:9" x14ac:dyDescent="0.2">
      <c r="A1811" s="70"/>
      <c r="B1811" s="57"/>
      <c r="C1811" s="57"/>
      <c r="D1811" s="57"/>
      <c r="E1811" s="57"/>
      <c r="F1811" s="57"/>
      <c r="G1811" s="57"/>
      <c r="H1811" s="57"/>
      <c r="I1811" s="57"/>
    </row>
    <row r="1812" spans="1:9" x14ac:dyDescent="0.2">
      <c r="A1812" s="70"/>
      <c r="B1812" s="57"/>
      <c r="C1812" s="57"/>
      <c r="D1812" s="57"/>
      <c r="E1812" s="57"/>
      <c r="F1812" s="57"/>
      <c r="G1812" s="57"/>
      <c r="H1812" s="57"/>
      <c r="I1812" s="57"/>
    </row>
    <row r="1813" spans="1:9" x14ac:dyDescent="0.2">
      <c r="A1813" s="70"/>
      <c r="B1813" s="57"/>
      <c r="C1813" s="57"/>
      <c r="D1813" s="57"/>
      <c r="E1813" s="57"/>
      <c r="F1813" s="57"/>
      <c r="G1813" s="57"/>
      <c r="H1813" s="57"/>
      <c r="I1813" s="57"/>
    </row>
    <row r="1814" spans="1:9" x14ac:dyDescent="0.2">
      <c r="A1814" s="70"/>
      <c r="B1814" s="57"/>
      <c r="C1814" s="57"/>
      <c r="D1814" s="57"/>
      <c r="E1814" s="57"/>
      <c r="F1814" s="57"/>
      <c r="G1814" s="57"/>
      <c r="H1814" s="57"/>
      <c r="I1814" s="57"/>
    </row>
    <row r="1815" spans="1:9" x14ac:dyDescent="0.2">
      <c r="A1815" s="70"/>
      <c r="B1815" s="57"/>
      <c r="C1815" s="57"/>
      <c r="D1815" s="57"/>
      <c r="E1815" s="57"/>
      <c r="F1815" s="57"/>
      <c r="G1815" s="57"/>
      <c r="H1815" s="57"/>
      <c r="I1815" s="57"/>
    </row>
    <row r="1816" spans="1:9" x14ac:dyDescent="0.2">
      <c r="A1816" s="70"/>
      <c r="B1816" s="57"/>
      <c r="C1816" s="57"/>
      <c r="D1816" s="57"/>
      <c r="E1816" s="57"/>
      <c r="F1816" s="57"/>
      <c r="G1816" s="57"/>
      <c r="H1816" s="57"/>
      <c r="I1816" s="57"/>
    </row>
    <row r="1817" spans="1:9" x14ac:dyDescent="0.2">
      <c r="A1817" s="70"/>
      <c r="B1817" s="57"/>
      <c r="C1817" s="57"/>
      <c r="D1817" s="57"/>
      <c r="E1817" s="57"/>
      <c r="F1817" s="57"/>
      <c r="G1817" s="57"/>
      <c r="H1817" s="57"/>
      <c r="I1817" s="57"/>
    </row>
    <row r="1818" spans="1:9" x14ac:dyDescent="0.2">
      <c r="A1818" s="70"/>
      <c r="B1818" s="57"/>
      <c r="C1818" s="57"/>
      <c r="D1818" s="57"/>
      <c r="E1818" s="57"/>
      <c r="F1818" s="57"/>
      <c r="G1818" s="57"/>
      <c r="H1818" s="57"/>
      <c r="I1818" s="57"/>
    </row>
    <row r="1819" spans="1:9" x14ac:dyDescent="0.2">
      <c r="A1819" s="70"/>
      <c r="B1819" s="57"/>
      <c r="C1819" s="57"/>
      <c r="D1819" s="57"/>
      <c r="E1819" s="57"/>
      <c r="F1819" s="57"/>
      <c r="G1819" s="57"/>
      <c r="H1819" s="57"/>
      <c r="I1819" s="57"/>
    </row>
    <row r="1820" spans="1:9" x14ac:dyDescent="0.2">
      <c r="A1820" s="70"/>
      <c r="B1820" s="57"/>
      <c r="C1820" s="57"/>
      <c r="D1820" s="57"/>
      <c r="E1820" s="57"/>
      <c r="F1820" s="57"/>
      <c r="G1820" s="57"/>
      <c r="H1820" s="57"/>
      <c r="I1820" s="57"/>
    </row>
    <row r="1821" spans="1:9" x14ac:dyDescent="0.2">
      <c r="A1821" s="70"/>
      <c r="B1821" s="57"/>
      <c r="C1821" s="57"/>
      <c r="D1821" s="57"/>
      <c r="E1821" s="57"/>
      <c r="F1821" s="57"/>
      <c r="G1821" s="57"/>
      <c r="H1821" s="57"/>
      <c r="I1821" s="57"/>
    </row>
    <row r="1822" spans="1:9" x14ac:dyDescent="0.2">
      <c r="A1822" s="70"/>
      <c r="B1822" s="57"/>
      <c r="C1822" s="57"/>
      <c r="D1822" s="57"/>
      <c r="E1822" s="57"/>
      <c r="F1822" s="57"/>
      <c r="G1822" s="57"/>
      <c r="H1822" s="57"/>
      <c r="I1822" s="57"/>
    </row>
    <row r="1823" spans="1:9" x14ac:dyDescent="0.2">
      <c r="A1823" s="70"/>
      <c r="B1823" s="57"/>
      <c r="C1823" s="57"/>
      <c r="D1823" s="57"/>
      <c r="E1823" s="57"/>
      <c r="F1823" s="57"/>
      <c r="G1823" s="57"/>
      <c r="H1823" s="57"/>
      <c r="I1823" s="57"/>
    </row>
    <row r="1824" spans="1:9" x14ac:dyDescent="0.2">
      <c r="A1824" s="70"/>
      <c r="B1824" s="57"/>
      <c r="C1824" s="57"/>
      <c r="D1824" s="57"/>
      <c r="E1824" s="57"/>
      <c r="F1824" s="57"/>
      <c r="G1824" s="57"/>
      <c r="H1824" s="57"/>
      <c r="I1824" s="57"/>
    </row>
    <row r="1825" spans="1:9" x14ac:dyDescent="0.2">
      <c r="A1825" s="70"/>
      <c r="B1825" s="57"/>
      <c r="C1825" s="57"/>
      <c r="D1825" s="57"/>
      <c r="E1825" s="57"/>
      <c r="F1825" s="57"/>
      <c r="G1825" s="57"/>
      <c r="H1825" s="57"/>
      <c r="I1825" s="57"/>
    </row>
    <row r="1826" spans="1:9" x14ac:dyDescent="0.2">
      <c r="A1826" s="70"/>
      <c r="B1826" s="57"/>
      <c r="C1826" s="57"/>
      <c r="D1826" s="57"/>
      <c r="E1826" s="57"/>
      <c r="F1826" s="57"/>
      <c r="G1826" s="57"/>
      <c r="H1826" s="57"/>
      <c r="I1826" s="57"/>
    </row>
    <row r="1827" spans="1:9" x14ac:dyDescent="0.2">
      <c r="A1827" s="70"/>
      <c r="B1827" s="57"/>
      <c r="C1827" s="57"/>
      <c r="D1827" s="57"/>
      <c r="E1827" s="57"/>
      <c r="F1827" s="57"/>
      <c r="G1827" s="57"/>
      <c r="H1827" s="57"/>
      <c r="I1827" s="57"/>
    </row>
    <row r="1828" spans="1:9" x14ac:dyDescent="0.2">
      <c r="A1828" s="70"/>
      <c r="B1828" s="57"/>
      <c r="C1828" s="57"/>
      <c r="D1828" s="57"/>
      <c r="E1828" s="57"/>
      <c r="F1828" s="57"/>
      <c r="G1828" s="57"/>
      <c r="H1828" s="57"/>
      <c r="I1828" s="57"/>
    </row>
    <row r="1829" spans="1:9" x14ac:dyDescent="0.2">
      <c r="A1829" s="70"/>
      <c r="B1829" s="57"/>
      <c r="C1829" s="57"/>
      <c r="D1829" s="57"/>
      <c r="E1829" s="57"/>
      <c r="F1829" s="57"/>
      <c r="G1829" s="57"/>
      <c r="H1829" s="57"/>
      <c r="I1829" s="57"/>
    </row>
    <row r="1830" spans="1:9" x14ac:dyDescent="0.2">
      <c r="A1830" s="70"/>
      <c r="B1830" s="57"/>
      <c r="C1830" s="57"/>
      <c r="D1830" s="57"/>
      <c r="E1830" s="57"/>
      <c r="F1830" s="57"/>
      <c r="G1830" s="57"/>
      <c r="H1830" s="57"/>
      <c r="I1830" s="57"/>
    </row>
    <row r="1831" spans="1:9" x14ac:dyDescent="0.2">
      <c r="A1831" s="70"/>
      <c r="B1831" s="57"/>
      <c r="C1831" s="57"/>
      <c r="D1831" s="57"/>
      <c r="E1831" s="57"/>
      <c r="F1831" s="57"/>
      <c r="G1831" s="57"/>
      <c r="H1831" s="57"/>
      <c r="I1831" s="57"/>
    </row>
    <row r="1832" spans="1:9" x14ac:dyDescent="0.2">
      <c r="A1832" s="70"/>
      <c r="B1832" s="57"/>
      <c r="C1832" s="57"/>
      <c r="D1832" s="57"/>
      <c r="E1832" s="57"/>
      <c r="F1832" s="57"/>
      <c r="G1832" s="57"/>
      <c r="H1832" s="57"/>
      <c r="I1832" s="57"/>
    </row>
    <row r="1833" spans="1:9" x14ac:dyDescent="0.2">
      <c r="A1833" s="70"/>
      <c r="B1833" s="57"/>
      <c r="C1833" s="57"/>
      <c r="D1833" s="57"/>
      <c r="E1833" s="57"/>
      <c r="F1833" s="57"/>
      <c r="G1833" s="57"/>
      <c r="H1833" s="57"/>
      <c r="I1833" s="57"/>
    </row>
    <row r="1834" spans="1:9" x14ac:dyDescent="0.2">
      <c r="A1834" s="70"/>
      <c r="B1834" s="57"/>
      <c r="C1834" s="57"/>
      <c r="D1834" s="57"/>
      <c r="E1834" s="57"/>
      <c r="F1834" s="57"/>
      <c r="G1834" s="57"/>
      <c r="H1834" s="57"/>
      <c r="I1834" s="57"/>
    </row>
    <row r="1835" spans="1:9" x14ac:dyDescent="0.2">
      <c r="A1835" s="70"/>
      <c r="B1835" s="57"/>
      <c r="C1835" s="57"/>
      <c r="D1835" s="57"/>
      <c r="E1835" s="57"/>
      <c r="F1835" s="57"/>
      <c r="G1835" s="57"/>
      <c r="H1835" s="57"/>
      <c r="I1835" s="57"/>
    </row>
    <row r="1836" spans="1:9" x14ac:dyDescent="0.2">
      <c r="A1836" s="70"/>
      <c r="B1836" s="57"/>
      <c r="C1836" s="57"/>
      <c r="D1836" s="57"/>
      <c r="E1836" s="57"/>
      <c r="F1836" s="57"/>
      <c r="G1836" s="57"/>
      <c r="H1836" s="57"/>
      <c r="I1836" s="57"/>
    </row>
    <row r="1837" spans="1:9" x14ac:dyDescent="0.2">
      <c r="A1837" s="70"/>
      <c r="B1837" s="57"/>
      <c r="C1837" s="57"/>
      <c r="D1837" s="57"/>
      <c r="E1837" s="57"/>
      <c r="F1837" s="57"/>
      <c r="G1837" s="57"/>
      <c r="H1837" s="57"/>
      <c r="I1837" s="57"/>
    </row>
    <row r="1838" spans="1:9" x14ac:dyDescent="0.2">
      <c r="A1838" s="70"/>
      <c r="B1838" s="57"/>
      <c r="C1838" s="57"/>
      <c r="D1838" s="57"/>
      <c r="E1838" s="57"/>
      <c r="F1838" s="57"/>
      <c r="G1838" s="57"/>
      <c r="H1838" s="57"/>
      <c r="I1838" s="57"/>
    </row>
    <row r="1839" spans="1:9" x14ac:dyDescent="0.2">
      <c r="A1839" s="70"/>
      <c r="B1839" s="57"/>
      <c r="C1839" s="57"/>
      <c r="D1839" s="57"/>
      <c r="E1839" s="57"/>
      <c r="F1839" s="57"/>
      <c r="G1839" s="57"/>
      <c r="H1839" s="57"/>
      <c r="I1839" s="57"/>
    </row>
    <row r="1840" spans="1:9" x14ac:dyDescent="0.2">
      <c r="A1840" s="70"/>
      <c r="B1840" s="57"/>
      <c r="C1840" s="57"/>
      <c r="D1840" s="57"/>
      <c r="E1840" s="57"/>
      <c r="F1840" s="57"/>
      <c r="G1840" s="57"/>
      <c r="H1840" s="57"/>
      <c r="I1840" s="57"/>
    </row>
    <row r="1841" spans="1:9" x14ac:dyDescent="0.2">
      <c r="A1841" s="70"/>
      <c r="B1841" s="57"/>
      <c r="C1841" s="57"/>
      <c r="D1841" s="57"/>
      <c r="E1841" s="57"/>
      <c r="F1841" s="57"/>
      <c r="G1841" s="57"/>
      <c r="H1841" s="57"/>
      <c r="I1841" s="57"/>
    </row>
    <row r="1842" spans="1:9" x14ac:dyDescent="0.2">
      <c r="A1842" s="70"/>
      <c r="B1842" s="57"/>
      <c r="C1842" s="57"/>
      <c r="D1842" s="57"/>
      <c r="E1842" s="57"/>
      <c r="F1842" s="57"/>
      <c r="G1842" s="57"/>
      <c r="H1842" s="57"/>
      <c r="I1842" s="57"/>
    </row>
    <row r="1843" spans="1:9" x14ac:dyDescent="0.2">
      <c r="A1843" s="70"/>
      <c r="B1843" s="57"/>
      <c r="C1843" s="57"/>
      <c r="D1843" s="57"/>
      <c r="E1843" s="57"/>
      <c r="F1843" s="57"/>
      <c r="G1843" s="57"/>
      <c r="H1843" s="57"/>
      <c r="I1843" s="57"/>
    </row>
    <row r="1844" spans="1:9" x14ac:dyDescent="0.2">
      <c r="A1844" s="70"/>
      <c r="B1844" s="57"/>
      <c r="C1844" s="57"/>
      <c r="D1844" s="57"/>
      <c r="E1844" s="57"/>
      <c r="F1844" s="57"/>
      <c r="G1844" s="57"/>
      <c r="H1844" s="57"/>
      <c r="I1844" s="57"/>
    </row>
    <row r="1845" spans="1:9" x14ac:dyDescent="0.2">
      <c r="A1845" s="70"/>
      <c r="B1845" s="57"/>
      <c r="C1845" s="57"/>
      <c r="D1845" s="57"/>
      <c r="E1845" s="57"/>
      <c r="F1845" s="57"/>
      <c r="G1845" s="57"/>
      <c r="H1845" s="57"/>
      <c r="I1845" s="57"/>
    </row>
    <row r="1846" spans="1:9" x14ac:dyDescent="0.2">
      <c r="A1846" s="70"/>
      <c r="B1846" s="57"/>
      <c r="C1846" s="57"/>
      <c r="D1846" s="57"/>
      <c r="E1846" s="57"/>
      <c r="F1846" s="57"/>
      <c r="G1846" s="57"/>
      <c r="H1846" s="57"/>
      <c r="I1846" s="57"/>
    </row>
    <row r="1847" spans="1:9" x14ac:dyDescent="0.2">
      <c r="A1847" s="70"/>
      <c r="B1847" s="57"/>
      <c r="C1847" s="57"/>
      <c r="D1847" s="57"/>
      <c r="E1847" s="57"/>
      <c r="F1847" s="57"/>
      <c r="G1847" s="57"/>
      <c r="H1847" s="57"/>
      <c r="I1847" s="57"/>
    </row>
    <row r="1848" spans="1:9" x14ac:dyDescent="0.2">
      <c r="A1848" s="70"/>
      <c r="B1848" s="57"/>
      <c r="C1848" s="57"/>
      <c r="D1848" s="57"/>
      <c r="E1848" s="57"/>
      <c r="F1848" s="57"/>
      <c r="G1848" s="57"/>
      <c r="H1848" s="57"/>
      <c r="I1848" s="57"/>
    </row>
    <row r="1849" spans="1:9" x14ac:dyDescent="0.2">
      <c r="A1849" s="70"/>
      <c r="B1849" s="57"/>
      <c r="C1849" s="57"/>
      <c r="D1849" s="57"/>
      <c r="E1849" s="57"/>
      <c r="F1849" s="57"/>
      <c r="G1849" s="57"/>
      <c r="H1849" s="57"/>
      <c r="I1849" s="57"/>
    </row>
    <row r="1850" spans="1:9" x14ac:dyDescent="0.2">
      <c r="A1850" s="70"/>
      <c r="B1850" s="57"/>
      <c r="C1850" s="57"/>
      <c r="D1850" s="57"/>
      <c r="E1850" s="57"/>
      <c r="F1850" s="57"/>
      <c r="G1850" s="57"/>
      <c r="H1850" s="57"/>
      <c r="I1850" s="57"/>
    </row>
    <row r="1851" spans="1:9" x14ac:dyDescent="0.2">
      <c r="A1851" s="70"/>
      <c r="B1851" s="57"/>
      <c r="C1851" s="57"/>
      <c r="D1851" s="57"/>
      <c r="E1851" s="57"/>
      <c r="F1851" s="57"/>
      <c r="G1851" s="57"/>
      <c r="H1851" s="57"/>
      <c r="I1851" s="57"/>
    </row>
    <row r="1852" spans="1:9" x14ac:dyDescent="0.2">
      <c r="A1852" s="70"/>
      <c r="B1852" s="57"/>
      <c r="C1852" s="57"/>
      <c r="D1852" s="57"/>
      <c r="E1852" s="57"/>
      <c r="F1852" s="57"/>
      <c r="G1852" s="57"/>
      <c r="H1852" s="57"/>
      <c r="I1852" s="57"/>
    </row>
    <row r="1853" spans="1:9" x14ac:dyDescent="0.2">
      <c r="A1853" s="70"/>
      <c r="B1853" s="57"/>
      <c r="C1853" s="57"/>
      <c r="D1853" s="57"/>
      <c r="E1853" s="57"/>
      <c r="F1853" s="57"/>
      <c r="G1853" s="57"/>
      <c r="H1853" s="57"/>
      <c r="I1853" s="57"/>
    </row>
    <row r="1854" spans="1:9" x14ac:dyDescent="0.2">
      <c r="A1854" s="70"/>
      <c r="B1854" s="57"/>
      <c r="C1854" s="57"/>
      <c r="D1854" s="57"/>
      <c r="E1854" s="57"/>
      <c r="F1854" s="57"/>
      <c r="G1854" s="57"/>
      <c r="H1854" s="57"/>
      <c r="I1854" s="57"/>
    </row>
    <row r="1855" spans="1:9" x14ac:dyDescent="0.2">
      <c r="A1855" s="70"/>
      <c r="B1855" s="57"/>
      <c r="C1855" s="57"/>
      <c r="D1855" s="57"/>
      <c r="E1855" s="57"/>
      <c r="F1855" s="57"/>
      <c r="G1855" s="57"/>
      <c r="H1855" s="57"/>
      <c r="I1855" s="57"/>
    </row>
    <row r="1856" spans="1:9" x14ac:dyDescent="0.2">
      <c r="A1856" s="70"/>
      <c r="B1856" s="57"/>
      <c r="C1856" s="57"/>
      <c r="D1856" s="57"/>
      <c r="E1856" s="57"/>
      <c r="F1856" s="57"/>
      <c r="G1856" s="57"/>
      <c r="H1856" s="57"/>
      <c r="I1856" s="57"/>
    </row>
    <row r="1857" spans="1:9" x14ac:dyDescent="0.2">
      <c r="A1857" s="70"/>
      <c r="B1857" s="57"/>
      <c r="C1857" s="57"/>
      <c r="D1857" s="57"/>
      <c r="E1857" s="57"/>
      <c r="F1857" s="57"/>
      <c r="G1857" s="57"/>
      <c r="H1857" s="57"/>
      <c r="I1857" s="57"/>
    </row>
    <row r="1858" spans="1:9" x14ac:dyDescent="0.2">
      <c r="A1858" s="70"/>
      <c r="B1858" s="57"/>
      <c r="C1858" s="57"/>
      <c r="D1858" s="57"/>
      <c r="E1858" s="57"/>
      <c r="F1858" s="57"/>
      <c r="G1858" s="57"/>
      <c r="H1858" s="57"/>
      <c r="I1858" s="57"/>
    </row>
    <row r="1859" spans="1:9" x14ac:dyDescent="0.2">
      <c r="A1859" s="70"/>
      <c r="B1859" s="57"/>
      <c r="C1859" s="57"/>
      <c r="D1859" s="57"/>
      <c r="E1859" s="57"/>
      <c r="F1859" s="57"/>
      <c r="G1859" s="57"/>
      <c r="H1859" s="57"/>
      <c r="I1859" s="57"/>
    </row>
    <row r="1860" spans="1:9" x14ac:dyDescent="0.2">
      <c r="A1860" s="70"/>
      <c r="B1860" s="57"/>
      <c r="C1860" s="57"/>
      <c r="D1860" s="57"/>
      <c r="E1860" s="57"/>
      <c r="F1860" s="57"/>
      <c r="G1860" s="57"/>
      <c r="H1860" s="57"/>
      <c r="I1860" s="57"/>
    </row>
    <row r="1861" spans="1:9" x14ac:dyDescent="0.2">
      <c r="A1861" s="70"/>
      <c r="B1861" s="57"/>
      <c r="C1861" s="57"/>
      <c r="D1861" s="57"/>
      <c r="E1861" s="57"/>
      <c r="F1861" s="57"/>
      <c r="G1861" s="57"/>
      <c r="H1861" s="57"/>
      <c r="I1861" s="57"/>
    </row>
    <row r="1862" spans="1:9" x14ac:dyDescent="0.2">
      <c r="A1862" s="70"/>
      <c r="B1862" s="57"/>
      <c r="C1862" s="57"/>
      <c r="D1862" s="57"/>
      <c r="E1862" s="57"/>
      <c r="F1862" s="57"/>
      <c r="G1862" s="57"/>
      <c r="H1862" s="57"/>
      <c r="I1862" s="57"/>
    </row>
    <row r="1863" spans="1:9" x14ac:dyDescent="0.2">
      <c r="A1863" s="70"/>
      <c r="B1863" s="57"/>
      <c r="C1863" s="57"/>
      <c r="D1863" s="57"/>
      <c r="E1863" s="57"/>
      <c r="F1863" s="57"/>
      <c r="G1863" s="57"/>
      <c r="H1863" s="57"/>
      <c r="I1863" s="57"/>
    </row>
    <row r="1864" spans="1:9" x14ac:dyDescent="0.2">
      <c r="A1864" s="70"/>
      <c r="B1864" s="57"/>
      <c r="C1864" s="57"/>
      <c r="D1864" s="57"/>
      <c r="E1864" s="57"/>
      <c r="F1864" s="57"/>
      <c r="G1864" s="57"/>
      <c r="H1864" s="57"/>
      <c r="I1864" s="57"/>
    </row>
    <row r="1865" spans="1:9" x14ac:dyDescent="0.2">
      <c r="A1865" s="70"/>
      <c r="B1865" s="57"/>
      <c r="C1865" s="57"/>
      <c r="D1865" s="57"/>
      <c r="E1865" s="57"/>
      <c r="F1865" s="57"/>
      <c r="G1865" s="57"/>
      <c r="H1865" s="57"/>
      <c r="I1865" s="57"/>
    </row>
    <row r="1866" spans="1:9" x14ac:dyDescent="0.2">
      <c r="A1866" s="70"/>
      <c r="B1866" s="57"/>
      <c r="C1866" s="57"/>
      <c r="D1866" s="57"/>
      <c r="E1866" s="57"/>
      <c r="F1866" s="57"/>
      <c r="G1866" s="57"/>
      <c r="H1866" s="57"/>
      <c r="I1866" s="57"/>
    </row>
    <row r="1867" spans="1:9" x14ac:dyDescent="0.2">
      <c r="A1867" s="70"/>
      <c r="B1867" s="57"/>
      <c r="C1867" s="57"/>
      <c r="D1867" s="57"/>
      <c r="E1867" s="57"/>
      <c r="F1867" s="57"/>
      <c r="G1867" s="57"/>
      <c r="H1867" s="57"/>
      <c r="I1867" s="57"/>
    </row>
    <row r="1868" spans="1:9" x14ac:dyDescent="0.2">
      <c r="A1868" s="70"/>
      <c r="B1868" s="57"/>
      <c r="C1868" s="57"/>
      <c r="D1868" s="57"/>
      <c r="E1868" s="57"/>
      <c r="F1868" s="57"/>
      <c r="G1868" s="57"/>
      <c r="H1868" s="57"/>
      <c r="I1868" s="57"/>
    </row>
    <row r="1869" spans="1:9" x14ac:dyDescent="0.2">
      <c r="A1869" s="70"/>
      <c r="B1869" s="57"/>
      <c r="C1869" s="57"/>
      <c r="D1869" s="57"/>
      <c r="E1869" s="57"/>
      <c r="F1869" s="57"/>
      <c r="G1869" s="57"/>
      <c r="H1869" s="57"/>
      <c r="I1869" s="57"/>
    </row>
    <row r="1870" spans="1:9" x14ac:dyDescent="0.2">
      <c r="A1870" s="70"/>
      <c r="B1870" s="57"/>
      <c r="C1870" s="57"/>
      <c r="D1870" s="57"/>
      <c r="E1870" s="57"/>
      <c r="F1870" s="57"/>
      <c r="G1870" s="57"/>
      <c r="H1870" s="57"/>
      <c r="I1870" s="57"/>
    </row>
    <row r="1871" spans="1:9" x14ac:dyDescent="0.2">
      <c r="A1871" s="70"/>
      <c r="B1871" s="57"/>
      <c r="C1871" s="57"/>
      <c r="D1871" s="57"/>
      <c r="E1871" s="57"/>
      <c r="F1871" s="57"/>
      <c r="G1871" s="57"/>
      <c r="H1871" s="57"/>
      <c r="I1871" s="57"/>
    </row>
    <row r="1872" spans="1:9" x14ac:dyDescent="0.2">
      <c r="A1872" s="70"/>
      <c r="B1872" s="57"/>
      <c r="C1872" s="57"/>
      <c r="D1872" s="57"/>
      <c r="E1872" s="57"/>
      <c r="F1872" s="57"/>
      <c r="G1872" s="57"/>
      <c r="H1872" s="57"/>
      <c r="I1872" s="57"/>
    </row>
    <row r="1873" spans="1:9" x14ac:dyDescent="0.2">
      <c r="A1873" s="70"/>
      <c r="B1873" s="57"/>
      <c r="C1873" s="57"/>
      <c r="D1873" s="57"/>
      <c r="E1873" s="57"/>
      <c r="F1873" s="57"/>
      <c r="G1873" s="57"/>
      <c r="H1873" s="57"/>
      <c r="I1873" s="57"/>
    </row>
    <row r="1874" spans="1:9" x14ac:dyDescent="0.2">
      <c r="A1874" s="70"/>
      <c r="B1874" s="57"/>
      <c r="C1874" s="57"/>
      <c r="D1874" s="57"/>
      <c r="E1874" s="57"/>
      <c r="F1874" s="57"/>
      <c r="G1874" s="57"/>
      <c r="H1874" s="57"/>
      <c r="I1874" s="57"/>
    </row>
    <row r="1875" spans="1:9" x14ac:dyDescent="0.2">
      <c r="A1875" s="70"/>
      <c r="B1875" s="57"/>
      <c r="C1875" s="57"/>
      <c r="D1875" s="57"/>
      <c r="E1875" s="57"/>
      <c r="F1875" s="57"/>
      <c r="G1875" s="57"/>
      <c r="H1875" s="57"/>
      <c r="I1875" s="57"/>
    </row>
    <row r="1876" spans="1:9" x14ac:dyDescent="0.2">
      <c r="A1876" s="70"/>
      <c r="B1876" s="57"/>
      <c r="C1876" s="57"/>
      <c r="D1876" s="57"/>
      <c r="E1876" s="57"/>
      <c r="F1876" s="57"/>
      <c r="G1876" s="57"/>
      <c r="H1876" s="57"/>
      <c r="I1876" s="57"/>
    </row>
    <row r="1877" spans="1:9" x14ac:dyDescent="0.2">
      <c r="A1877" s="70"/>
      <c r="B1877" s="57"/>
      <c r="C1877" s="57"/>
      <c r="D1877" s="57"/>
      <c r="E1877" s="57"/>
      <c r="F1877" s="57"/>
      <c r="G1877" s="57"/>
      <c r="H1877" s="57"/>
      <c r="I1877" s="57"/>
    </row>
    <row r="1878" spans="1:9" x14ac:dyDescent="0.2">
      <c r="A1878" s="70"/>
      <c r="B1878" s="57"/>
      <c r="C1878" s="57"/>
      <c r="D1878" s="57"/>
      <c r="E1878" s="57"/>
      <c r="F1878" s="57"/>
      <c r="G1878" s="57"/>
      <c r="H1878" s="57"/>
      <c r="I1878" s="57"/>
    </row>
    <row r="1879" spans="1:9" x14ac:dyDescent="0.2">
      <c r="A1879" s="70"/>
      <c r="B1879" s="57"/>
      <c r="C1879" s="57"/>
      <c r="D1879" s="57"/>
      <c r="E1879" s="57"/>
      <c r="F1879" s="57"/>
      <c r="G1879" s="57"/>
      <c r="H1879" s="57"/>
      <c r="I1879" s="57"/>
    </row>
    <row r="1880" spans="1:9" x14ac:dyDescent="0.2">
      <c r="A1880" s="70"/>
      <c r="B1880" s="57"/>
      <c r="C1880" s="57"/>
      <c r="D1880" s="57"/>
      <c r="E1880" s="57"/>
      <c r="F1880" s="57"/>
      <c r="G1880" s="57"/>
      <c r="H1880" s="57"/>
      <c r="I1880" s="57"/>
    </row>
    <row r="1881" spans="1:9" x14ac:dyDescent="0.2">
      <c r="A1881" s="70"/>
      <c r="B1881" s="57"/>
      <c r="C1881" s="57"/>
      <c r="D1881" s="57"/>
      <c r="E1881" s="57"/>
      <c r="F1881" s="57"/>
      <c r="G1881" s="57"/>
      <c r="H1881" s="57"/>
      <c r="I1881" s="57"/>
    </row>
    <row r="1882" spans="1:9" x14ac:dyDescent="0.2">
      <c r="A1882" s="70"/>
      <c r="B1882" s="57"/>
      <c r="C1882" s="57"/>
      <c r="D1882" s="57"/>
      <c r="E1882" s="57"/>
      <c r="F1882" s="57"/>
      <c r="G1882" s="57"/>
      <c r="H1882" s="57"/>
      <c r="I1882" s="57"/>
    </row>
    <row r="1883" spans="1:9" x14ac:dyDescent="0.2">
      <c r="A1883" s="70"/>
      <c r="B1883" s="57"/>
      <c r="C1883" s="57"/>
      <c r="D1883" s="57"/>
      <c r="E1883" s="57"/>
      <c r="F1883" s="57"/>
      <c r="G1883" s="57"/>
      <c r="H1883" s="57"/>
      <c r="I1883" s="57"/>
    </row>
    <row r="1884" spans="1:9" x14ac:dyDescent="0.2">
      <c r="A1884" s="70"/>
      <c r="B1884" s="57"/>
      <c r="C1884" s="57"/>
      <c r="D1884" s="57"/>
      <c r="E1884" s="57"/>
      <c r="F1884" s="57"/>
      <c r="G1884" s="57"/>
      <c r="H1884" s="57"/>
      <c r="I1884" s="57"/>
    </row>
    <row r="1885" spans="1:9" x14ac:dyDescent="0.2">
      <c r="A1885" s="70"/>
      <c r="B1885" s="57"/>
      <c r="C1885" s="57"/>
      <c r="D1885" s="57"/>
      <c r="E1885" s="57"/>
      <c r="F1885" s="57"/>
      <c r="G1885" s="57"/>
      <c r="H1885" s="57"/>
      <c r="I1885" s="57"/>
    </row>
    <row r="1886" spans="1:9" x14ac:dyDescent="0.2">
      <c r="A1886" s="70"/>
      <c r="B1886" s="57"/>
      <c r="C1886" s="57"/>
      <c r="D1886" s="57"/>
      <c r="E1886" s="57"/>
      <c r="F1886" s="57"/>
      <c r="G1886" s="57"/>
      <c r="H1886" s="57"/>
      <c r="I1886" s="57"/>
    </row>
    <row r="1887" spans="1:9" x14ac:dyDescent="0.2">
      <c r="A1887" s="70"/>
      <c r="B1887" s="57"/>
      <c r="C1887" s="57"/>
      <c r="D1887" s="57"/>
      <c r="E1887" s="57"/>
      <c r="F1887" s="57"/>
      <c r="G1887" s="57"/>
      <c r="H1887" s="57"/>
      <c r="I1887" s="57"/>
    </row>
    <row r="1888" spans="1:9" x14ac:dyDescent="0.2">
      <c r="A1888" s="70"/>
      <c r="B1888" s="57"/>
      <c r="C1888" s="57"/>
      <c r="D1888" s="57"/>
      <c r="E1888" s="57"/>
      <c r="F1888" s="57"/>
      <c r="G1888" s="57"/>
      <c r="H1888" s="57"/>
      <c r="I1888" s="57"/>
    </row>
    <row r="1889" spans="1:9" x14ac:dyDescent="0.2">
      <c r="A1889" s="70"/>
      <c r="B1889" s="57"/>
      <c r="C1889" s="57"/>
      <c r="D1889" s="57"/>
      <c r="E1889" s="57"/>
      <c r="F1889" s="57"/>
      <c r="G1889" s="57"/>
      <c r="H1889" s="57"/>
      <c r="I1889" s="57"/>
    </row>
    <row r="1890" spans="1:9" x14ac:dyDescent="0.2">
      <c r="A1890" s="70"/>
      <c r="B1890" s="57"/>
      <c r="C1890" s="57"/>
      <c r="D1890" s="57"/>
      <c r="E1890" s="57"/>
      <c r="F1890" s="57"/>
      <c r="G1890" s="57"/>
      <c r="H1890" s="57"/>
      <c r="I1890" s="57"/>
    </row>
    <row r="1891" spans="1:9" x14ac:dyDescent="0.2">
      <c r="A1891" s="70"/>
      <c r="B1891" s="57"/>
      <c r="C1891" s="57"/>
      <c r="D1891" s="57"/>
      <c r="E1891" s="57"/>
      <c r="F1891" s="57"/>
      <c r="G1891" s="57"/>
      <c r="H1891" s="57"/>
      <c r="I1891" s="57"/>
    </row>
    <row r="1892" spans="1:9" x14ac:dyDescent="0.2">
      <c r="A1892" s="70"/>
      <c r="B1892" s="57"/>
      <c r="C1892" s="57"/>
      <c r="D1892" s="57"/>
      <c r="E1892" s="57"/>
      <c r="F1892" s="57"/>
      <c r="G1892" s="57"/>
      <c r="H1892" s="57"/>
      <c r="I1892" s="57"/>
    </row>
    <row r="1893" spans="1:9" x14ac:dyDescent="0.2">
      <c r="A1893" s="70"/>
      <c r="B1893" s="57"/>
      <c r="C1893" s="57"/>
      <c r="D1893" s="57"/>
      <c r="E1893" s="57"/>
      <c r="F1893" s="57"/>
      <c r="G1893" s="57"/>
      <c r="H1893" s="57"/>
      <c r="I1893" s="57"/>
    </row>
    <row r="1894" spans="1:9" x14ac:dyDescent="0.2">
      <c r="A1894" s="70"/>
      <c r="B1894" s="57"/>
      <c r="C1894" s="57"/>
      <c r="D1894" s="57"/>
      <c r="E1894" s="57"/>
      <c r="F1894" s="57"/>
      <c r="G1894" s="57"/>
      <c r="H1894" s="57"/>
      <c r="I1894" s="57"/>
    </row>
    <row r="1895" spans="1:9" x14ac:dyDescent="0.2">
      <c r="A1895" s="70"/>
      <c r="B1895" s="57"/>
      <c r="C1895" s="57"/>
      <c r="D1895" s="57"/>
      <c r="E1895" s="57"/>
      <c r="F1895" s="57"/>
      <c r="G1895" s="57"/>
      <c r="H1895" s="57"/>
      <c r="I1895" s="57"/>
    </row>
    <row r="1896" spans="1:9" x14ac:dyDescent="0.2">
      <c r="A1896" s="70"/>
      <c r="B1896" s="57"/>
      <c r="C1896" s="57"/>
      <c r="D1896" s="57"/>
      <c r="E1896" s="57"/>
      <c r="F1896" s="57"/>
      <c r="G1896" s="57"/>
      <c r="H1896" s="57"/>
      <c r="I1896" s="57"/>
    </row>
    <row r="1897" spans="1:9" x14ac:dyDescent="0.2">
      <c r="A1897" s="70"/>
      <c r="B1897" s="57"/>
      <c r="C1897" s="57"/>
      <c r="D1897" s="57"/>
      <c r="E1897" s="57"/>
      <c r="F1897" s="57"/>
      <c r="G1897" s="57"/>
      <c r="H1897" s="57"/>
      <c r="I1897" s="57"/>
    </row>
    <row r="1898" spans="1:9" x14ac:dyDescent="0.2">
      <c r="A1898" s="70"/>
      <c r="B1898" s="57"/>
      <c r="C1898" s="57"/>
      <c r="D1898" s="57"/>
      <c r="E1898" s="57"/>
      <c r="F1898" s="57"/>
      <c r="G1898" s="57"/>
      <c r="H1898" s="57"/>
      <c r="I1898" s="57"/>
    </row>
    <row r="1899" spans="1:9" x14ac:dyDescent="0.2">
      <c r="A1899" s="70"/>
      <c r="B1899" s="57"/>
      <c r="C1899" s="57"/>
      <c r="D1899" s="57"/>
      <c r="E1899" s="57"/>
      <c r="F1899" s="57"/>
      <c r="G1899" s="57"/>
      <c r="H1899" s="57"/>
      <c r="I1899" s="57"/>
    </row>
    <row r="1900" spans="1:9" x14ac:dyDescent="0.2">
      <c r="A1900" s="70"/>
      <c r="B1900" s="57"/>
      <c r="C1900" s="57"/>
      <c r="D1900" s="57"/>
      <c r="E1900" s="57"/>
      <c r="F1900" s="57"/>
      <c r="G1900" s="57"/>
      <c r="H1900" s="57"/>
      <c r="I1900" s="57"/>
    </row>
    <row r="1901" spans="1:9" x14ac:dyDescent="0.2">
      <c r="A1901" s="70"/>
      <c r="B1901" s="57"/>
      <c r="C1901" s="57"/>
      <c r="D1901" s="57"/>
      <c r="E1901" s="57"/>
      <c r="F1901" s="57"/>
      <c r="G1901" s="57"/>
      <c r="H1901" s="57"/>
      <c r="I1901" s="57"/>
    </row>
    <row r="1902" spans="1:9" x14ac:dyDescent="0.2">
      <c r="A1902" s="70"/>
      <c r="B1902" s="57"/>
      <c r="C1902" s="57"/>
      <c r="D1902" s="57"/>
      <c r="E1902" s="57"/>
      <c r="F1902" s="57"/>
      <c r="G1902" s="57"/>
      <c r="H1902" s="57"/>
      <c r="I1902" s="57"/>
    </row>
    <row r="1903" spans="1:9" x14ac:dyDescent="0.2">
      <c r="A1903" s="70"/>
      <c r="B1903" s="57"/>
      <c r="C1903" s="57"/>
      <c r="D1903" s="57"/>
      <c r="E1903" s="57"/>
      <c r="F1903" s="57"/>
      <c r="G1903" s="57"/>
      <c r="H1903" s="57"/>
      <c r="I1903" s="57"/>
    </row>
    <row r="1904" spans="1:9" x14ac:dyDescent="0.2">
      <c r="A1904" s="70"/>
      <c r="B1904" s="57"/>
      <c r="C1904" s="57"/>
      <c r="D1904" s="57"/>
      <c r="E1904" s="57"/>
      <c r="F1904" s="57"/>
      <c r="G1904" s="57"/>
      <c r="H1904" s="57"/>
      <c r="I1904" s="57"/>
    </row>
    <row r="1905" spans="1:9" x14ac:dyDescent="0.2">
      <c r="A1905" s="70"/>
      <c r="B1905" s="57"/>
      <c r="C1905" s="57"/>
      <c r="D1905" s="57"/>
      <c r="E1905" s="57"/>
      <c r="F1905" s="57"/>
      <c r="G1905" s="57"/>
      <c r="H1905" s="57"/>
      <c r="I1905" s="57"/>
    </row>
    <row r="1906" spans="1:9" x14ac:dyDescent="0.2">
      <c r="A1906" s="70"/>
      <c r="B1906" s="57"/>
      <c r="C1906" s="57"/>
      <c r="D1906" s="57"/>
      <c r="E1906" s="57"/>
      <c r="F1906" s="57"/>
      <c r="G1906" s="57"/>
      <c r="H1906" s="57"/>
      <c r="I1906" s="57"/>
    </row>
    <row r="1907" spans="1:9" x14ac:dyDescent="0.2">
      <c r="A1907" s="70"/>
      <c r="B1907" s="57"/>
      <c r="C1907" s="57"/>
      <c r="D1907" s="57"/>
      <c r="E1907" s="57"/>
      <c r="F1907" s="57"/>
      <c r="G1907" s="57"/>
      <c r="H1907" s="57"/>
      <c r="I1907" s="57"/>
    </row>
    <row r="1908" spans="1:9" x14ac:dyDescent="0.2">
      <c r="A1908" s="70"/>
      <c r="B1908" s="57"/>
      <c r="C1908" s="57"/>
      <c r="D1908" s="57"/>
      <c r="E1908" s="57"/>
      <c r="F1908" s="57"/>
      <c r="G1908" s="57"/>
      <c r="H1908" s="57"/>
      <c r="I1908" s="57"/>
    </row>
    <row r="1909" spans="1:9" x14ac:dyDescent="0.2">
      <c r="A1909" s="70"/>
      <c r="B1909" s="57"/>
      <c r="C1909" s="57"/>
      <c r="D1909" s="57"/>
      <c r="E1909" s="57"/>
      <c r="F1909" s="57"/>
      <c r="G1909" s="57"/>
      <c r="H1909" s="57"/>
      <c r="I1909" s="57"/>
    </row>
    <row r="1910" spans="1:9" x14ac:dyDescent="0.2">
      <c r="A1910" s="70"/>
      <c r="B1910" s="57"/>
      <c r="C1910" s="57"/>
      <c r="D1910" s="57"/>
      <c r="E1910" s="57"/>
      <c r="F1910" s="57"/>
      <c r="G1910" s="57"/>
      <c r="H1910" s="57"/>
      <c r="I1910" s="57"/>
    </row>
    <row r="1911" spans="1:9" x14ac:dyDescent="0.2">
      <c r="A1911" s="70"/>
      <c r="B1911" s="57"/>
      <c r="C1911" s="57"/>
      <c r="D1911" s="57"/>
      <c r="E1911" s="57"/>
      <c r="F1911" s="57"/>
      <c r="G1911" s="57"/>
      <c r="H1911" s="57"/>
      <c r="I1911" s="57"/>
    </row>
    <row r="1912" spans="1:9" x14ac:dyDescent="0.2">
      <c r="A1912" s="70"/>
      <c r="B1912" s="57"/>
      <c r="C1912" s="57"/>
      <c r="D1912" s="57"/>
      <c r="E1912" s="57"/>
      <c r="F1912" s="57"/>
      <c r="G1912" s="57"/>
      <c r="H1912" s="57"/>
      <c r="I1912" s="57"/>
    </row>
    <row r="1913" spans="1:9" x14ac:dyDescent="0.2">
      <c r="A1913" s="70"/>
      <c r="B1913" s="57"/>
      <c r="C1913" s="57"/>
      <c r="D1913" s="57"/>
      <c r="E1913" s="57"/>
      <c r="F1913" s="57"/>
      <c r="G1913" s="57"/>
      <c r="H1913" s="57"/>
      <c r="I1913" s="57"/>
    </row>
    <row r="1914" spans="1:9" x14ac:dyDescent="0.2">
      <c r="A1914" s="70"/>
      <c r="B1914" s="57"/>
      <c r="C1914" s="57"/>
      <c r="D1914" s="57"/>
      <c r="E1914" s="57"/>
      <c r="F1914" s="57"/>
      <c r="G1914" s="57"/>
      <c r="H1914" s="57"/>
      <c r="I1914" s="57"/>
    </row>
    <row r="1915" spans="1:9" x14ac:dyDescent="0.2">
      <c r="A1915" s="70"/>
      <c r="B1915" s="57"/>
      <c r="C1915" s="57"/>
      <c r="D1915" s="57"/>
      <c r="E1915" s="57"/>
      <c r="F1915" s="57"/>
      <c r="G1915" s="57"/>
      <c r="H1915" s="57"/>
      <c r="I1915" s="57"/>
    </row>
    <row r="1916" spans="1:9" x14ac:dyDescent="0.2">
      <c r="A1916" s="70"/>
      <c r="B1916" s="57"/>
      <c r="C1916" s="57"/>
      <c r="D1916" s="57"/>
      <c r="E1916" s="57"/>
      <c r="F1916" s="57"/>
      <c r="G1916" s="57"/>
      <c r="H1916" s="57"/>
      <c r="I1916" s="57"/>
    </row>
    <row r="1917" spans="1:9" x14ac:dyDescent="0.2">
      <c r="A1917" s="70"/>
      <c r="B1917" s="57"/>
      <c r="C1917" s="57"/>
      <c r="D1917" s="57"/>
      <c r="E1917" s="57"/>
      <c r="F1917" s="57"/>
      <c r="G1917" s="57"/>
      <c r="H1917" s="57"/>
      <c r="I1917" s="57"/>
    </row>
    <row r="1918" spans="1:9" x14ac:dyDescent="0.2">
      <c r="A1918" s="70"/>
      <c r="B1918" s="57"/>
      <c r="C1918" s="57"/>
      <c r="D1918" s="57"/>
      <c r="E1918" s="57"/>
      <c r="F1918" s="57"/>
      <c r="G1918" s="57"/>
      <c r="H1918" s="57"/>
      <c r="I1918" s="57"/>
    </row>
    <row r="1919" spans="1:9" x14ac:dyDescent="0.2">
      <c r="A1919" s="70"/>
      <c r="B1919" s="57"/>
      <c r="C1919" s="57"/>
      <c r="D1919" s="57"/>
      <c r="E1919" s="57"/>
      <c r="F1919" s="57"/>
      <c r="G1919" s="57"/>
      <c r="H1919" s="57"/>
      <c r="I1919" s="57"/>
    </row>
    <row r="1920" spans="1:9" x14ac:dyDescent="0.2">
      <c r="A1920" s="70"/>
      <c r="B1920" s="57"/>
      <c r="C1920" s="57"/>
      <c r="D1920" s="57"/>
      <c r="E1920" s="57"/>
      <c r="F1920" s="57"/>
      <c r="G1920" s="57"/>
      <c r="H1920" s="57"/>
      <c r="I1920" s="57"/>
    </row>
    <row r="1921" spans="1:9" x14ac:dyDescent="0.2">
      <c r="A1921" s="70"/>
      <c r="B1921" s="57"/>
      <c r="C1921" s="57"/>
      <c r="D1921" s="57"/>
      <c r="E1921" s="57"/>
      <c r="F1921" s="57"/>
      <c r="G1921" s="57"/>
      <c r="H1921" s="57"/>
      <c r="I1921" s="57"/>
    </row>
    <row r="1922" spans="1:9" x14ac:dyDescent="0.2">
      <c r="A1922" s="70"/>
      <c r="B1922" s="57"/>
      <c r="C1922" s="57"/>
      <c r="D1922" s="57"/>
      <c r="E1922" s="57"/>
      <c r="F1922" s="57"/>
      <c r="G1922" s="57"/>
      <c r="H1922" s="57"/>
      <c r="I1922" s="57"/>
    </row>
    <row r="1923" spans="1:9" x14ac:dyDescent="0.2">
      <c r="A1923" s="70"/>
      <c r="B1923" s="57"/>
      <c r="C1923" s="57"/>
      <c r="D1923" s="57"/>
      <c r="E1923" s="57"/>
      <c r="F1923" s="57"/>
      <c r="G1923" s="57"/>
      <c r="H1923" s="57"/>
      <c r="I1923" s="57"/>
    </row>
    <row r="1924" spans="1:9" x14ac:dyDescent="0.2">
      <c r="A1924" s="70"/>
      <c r="B1924" s="57"/>
      <c r="C1924" s="57"/>
      <c r="D1924" s="57"/>
      <c r="E1924" s="57"/>
      <c r="F1924" s="57"/>
      <c r="G1924" s="57"/>
      <c r="H1924" s="57"/>
      <c r="I1924" s="57"/>
    </row>
    <row r="1925" spans="1:9" x14ac:dyDescent="0.2">
      <c r="A1925" s="70"/>
      <c r="B1925" s="57"/>
      <c r="C1925" s="57"/>
      <c r="D1925" s="57"/>
      <c r="E1925" s="57"/>
      <c r="F1925" s="57"/>
      <c r="G1925" s="57"/>
      <c r="H1925" s="57"/>
      <c r="I1925" s="57"/>
    </row>
    <row r="1926" spans="1:9" x14ac:dyDescent="0.2">
      <c r="A1926" s="70"/>
      <c r="B1926" s="57"/>
      <c r="C1926" s="57"/>
      <c r="D1926" s="57"/>
      <c r="E1926" s="57"/>
      <c r="F1926" s="57"/>
      <c r="G1926" s="57"/>
      <c r="H1926" s="57"/>
      <c r="I1926" s="57"/>
    </row>
    <row r="1927" spans="1:9" x14ac:dyDescent="0.2">
      <c r="A1927" s="70"/>
      <c r="B1927" s="57"/>
      <c r="C1927" s="57"/>
      <c r="D1927" s="57"/>
      <c r="E1927" s="57"/>
      <c r="F1927" s="57"/>
      <c r="G1927" s="57"/>
      <c r="H1927" s="57"/>
      <c r="I1927" s="57"/>
    </row>
    <row r="1928" spans="1:9" x14ac:dyDescent="0.2">
      <c r="A1928" s="70"/>
      <c r="B1928" s="57"/>
      <c r="C1928" s="57"/>
      <c r="D1928" s="57"/>
      <c r="E1928" s="57"/>
      <c r="F1928" s="57"/>
      <c r="G1928" s="57"/>
      <c r="H1928" s="57"/>
      <c r="I1928" s="57"/>
    </row>
    <row r="1929" spans="1:9" x14ac:dyDescent="0.2">
      <c r="A1929" s="70"/>
      <c r="B1929" s="57"/>
      <c r="C1929" s="57"/>
      <c r="D1929" s="57"/>
      <c r="E1929" s="57"/>
      <c r="F1929" s="57"/>
      <c r="G1929" s="57"/>
      <c r="H1929" s="57"/>
      <c r="I1929" s="57"/>
    </row>
    <row r="1930" spans="1:9" x14ac:dyDescent="0.2">
      <c r="A1930" s="70"/>
      <c r="B1930" s="57"/>
      <c r="C1930" s="57"/>
      <c r="D1930" s="57"/>
      <c r="E1930" s="57"/>
      <c r="F1930" s="57"/>
      <c r="G1930" s="57"/>
      <c r="H1930" s="57"/>
      <c r="I1930" s="57"/>
    </row>
    <row r="1931" spans="1:9" x14ac:dyDescent="0.2">
      <c r="A1931" s="70"/>
      <c r="B1931" s="57"/>
      <c r="C1931" s="57"/>
      <c r="D1931" s="57"/>
      <c r="E1931" s="57"/>
      <c r="F1931" s="57"/>
      <c r="G1931" s="57"/>
      <c r="H1931" s="57"/>
      <c r="I1931" s="57"/>
    </row>
    <row r="1932" spans="1:9" x14ac:dyDescent="0.2">
      <c r="A1932" s="70"/>
      <c r="B1932" s="57"/>
      <c r="C1932" s="57"/>
      <c r="D1932" s="57"/>
      <c r="E1932" s="57"/>
      <c r="F1932" s="57"/>
      <c r="G1932" s="57"/>
      <c r="H1932" s="57"/>
      <c r="I1932" s="57"/>
    </row>
    <row r="1933" spans="1:9" x14ac:dyDescent="0.2">
      <c r="A1933" s="70"/>
      <c r="B1933" s="57"/>
      <c r="C1933" s="57"/>
      <c r="D1933" s="57"/>
      <c r="E1933" s="57"/>
      <c r="F1933" s="57"/>
      <c r="G1933" s="57"/>
      <c r="H1933" s="57"/>
      <c r="I1933" s="57"/>
    </row>
    <row r="1934" spans="1:9" x14ac:dyDescent="0.2">
      <c r="A1934" s="70"/>
      <c r="B1934" s="57"/>
      <c r="C1934" s="57"/>
      <c r="D1934" s="57"/>
      <c r="E1934" s="57"/>
      <c r="F1934" s="57"/>
      <c r="G1934" s="57"/>
      <c r="H1934" s="57"/>
      <c r="I1934" s="57"/>
    </row>
    <row r="1935" spans="1:9" x14ac:dyDescent="0.2">
      <c r="A1935" s="70"/>
      <c r="B1935" s="57"/>
      <c r="C1935" s="57"/>
      <c r="D1935" s="57"/>
      <c r="E1935" s="57"/>
      <c r="F1935" s="57"/>
      <c r="G1935" s="57"/>
      <c r="H1935" s="57"/>
      <c r="I1935" s="57"/>
    </row>
    <row r="1936" spans="1:9" x14ac:dyDescent="0.2">
      <c r="A1936" s="70"/>
      <c r="B1936" s="57"/>
      <c r="C1936" s="57"/>
      <c r="D1936" s="57"/>
      <c r="E1936" s="57"/>
      <c r="F1936" s="57"/>
      <c r="G1936" s="57"/>
      <c r="H1936" s="57"/>
      <c r="I1936" s="57"/>
    </row>
    <row r="1937" spans="1:9" x14ac:dyDescent="0.2">
      <c r="A1937" s="70"/>
      <c r="B1937" s="57"/>
      <c r="C1937" s="57"/>
      <c r="D1937" s="57"/>
      <c r="E1937" s="57"/>
      <c r="F1937" s="57"/>
      <c r="G1937" s="57"/>
      <c r="H1937" s="57"/>
      <c r="I1937" s="57"/>
    </row>
    <row r="1938" spans="1:9" x14ac:dyDescent="0.2">
      <c r="A1938" s="70"/>
      <c r="B1938" s="57"/>
      <c r="C1938" s="57"/>
      <c r="D1938" s="57"/>
      <c r="E1938" s="57"/>
      <c r="F1938" s="57"/>
      <c r="G1938" s="57"/>
      <c r="H1938" s="57"/>
      <c r="I1938" s="57"/>
    </row>
    <row r="1939" spans="1:9" x14ac:dyDescent="0.2">
      <c r="A1939" s="70"/>
      <c r="B1939" s="57"/>
      <c r="C1939" s="57"/>
      <c r="D1939" s="57"/>
      <c r="E1939" s="57"/>
      <c r="F1939" s="57"/>
      <c r="G1939" s="57"/>
      <c r="H1939" s="57"/>
      <c r="I1939" s="57"/>
    </row>
    <row r="1940" spans="1:9" x14ac:dyDescent="0.2">
      <c r="A1940" s="70"/>
      <c r="B1940" s="57"/>
      <c r="C1940" s="57"/>
      <c r="D1940" s="57"/>
      <c r="E1940" s="57"/>
      <c r="F1940" s="57"/>
      <c r="G1940" s="57"/>
      <c r="H1940" s="57"/>
      <c r="I1940" s="57"/>
    </row>
    <row r="1941" spans="1:9" x14ac:dyDescent="0.2">
      <c r="A1941" s="70"/>
      <c r="B1941" s="57"/>
      <c r="C1941" s="57"/>
      <c r="D1941" s="57"/>
      <c r="E1941" s="57"/>
      <c r="F1941" s="57"/>
      <c r="G1941" s="57"/>
      <c r="H1941" s="57"/>
      <c r="I1941" s="57"/>
    </row>
    <row r="1942" spans="1:9" x14ac:dyDescent="0.2">
      <c r="A1942" s="70"/>
      <c r="B1942" s="57"/>
      <c r="C1942" s="57"/>
      <c r="D1942" s="57"/>
      <c r="E1942" s="57"/>
      <c r="F1942" s="57"/>
      <c r="G1942" s="57"/>
      <c r="H1942" s="57"/>
      <c r="I1942" s="57"/>
    </row>
    <row r="1943" spans="1:9" x14ac:dyDescent="0.2">
      <c r="A1943" s="70"/>
      <c r="B1943" s="57"/>
      <c r="C1943" s="57"/>
      <c r="D1943" s="57"/>
      <c r="E1943" s="57"/>
      <c r="F1943" s="57"/>
      <c r="G1943" s="57"/>
      <c r="H1943" s="57"/>
      <c r="I1943" s="57"/>
    </row>
    <row r="1944" spans="1:9" x14ac:dyDescent="0.2">
      <c r="A1944" s="70"/>
      <c r="B1944" s="57"/>
      <c r="C1944" s="57"/>
      <c r="D1944" s="57"/>
      <c r="E1944" s="57"/>
      <c r="F1944" s="57"/>
      <c r="G1944" s="57"/>
      <c r="H1944" s="57"/>
      <c r="I1944" s="57"/>
    </row>
    <row r="1945" spans="1:9" x14ac:dyDescent="0.2">
      <c r="A1945" s="70"/>
      <c r="B1945" s="57"/>
      <c r="C1945" s="57"/>
      <c r="D1945" s="57"/>
      <c r="E1945" s="57"/>
      <c r="F1945" s="57"/>
      <c r="G1945" s="57"/>
      <c r="H1945" s="57"/>
      <c r="I1945" s="57"/>
    </row>
    <row r="1946" spans="1:9" x14ac:dyDescent="0.2">
      <c r="A1946" s="70"/>
      <c r="B1946" s="57"/>
      <c r="C1946" s="57"/>
      <c r="D1946" s="57"/>
      <c r="E1946" s="57"/>
      <c r="F1946" s="57"/>
      <c r="G1946" s="57"/>
      <c r="H1946" s="57"/>
      <c r="I1946" s="57"/>
    </row>
    <row r="1947" spans="1:9" x14ac:dyDescent="0.2">
      <c r="A1947" s="70"/>
      <c r="B1947" s="57"/>
      <c r="C1947" s="57"/>
      <c r="D1947" s="57"/>
      <c r="E1947" s="57"/>
      <c r="F1947" s="57"/>
      <c r="G1947" s="57"/>
      <c r="H1947" s="57"/>
      <c r="I1947" s="57"/>
    </row>
    <row r="1948" spans="1:9" x14ac:dyDescent="0.2">
      <c r="A1948" s="70"/>
      <c r="B1948" s="57"/>
      <c r="C1948" s="57"/>
      <c r="D1948" s="57"/>
      <c r="E1948" s="57"/>
      <c r="F1948" s="57"/>
      <c r="G1948" s="57"/>
      <c r="H1948" s="57"/>
      <c r="I1948" s="57"/>
    </row>
    <row r="1949" spans="1:9" x14ac:dyDescent="0.2">
      <c r="A1949" s="70"/>
      <c r="B1949" s="57"/>
      <c r="C1949" s="57"/>
      <c r="D1949" s="57"/>
      <c r="E1949" s="57"/>
      <c r="F1949" s="57"/>
      <c r="G1949" s="57"/>
      <c r="H1949" s="57"/>
      <c r="I1949" s="57"/>
    </row>
    <row r="1950" spans="1:9" x14ac:dyDescent="0.2">
      <c r="A1950" s="70"/>
      <c r="B1950" s="57"/>
      <c r="C1950" s="57"/>
      <c r="D1950" s="57"/>
      <c r="E1950" s="57"/>
      <c r="F1950" s="57"/>
      <c r="G1950" s="57"/>
      <c r="H1950" s="57"/>
      <c r="I1950" s="57"/>
    </row>
    <row r="1951" spans="1:9" x14ac:dyDescent="0.2">
      <c r="A1951" s="70"/>
      <c r="B1951" s="57"/>
      <c r="C1951" s="57"/>
      <c r="D1951" s="57"/>
      <c r="E1951" s="57"/>
      <c r="F1951" s="57"/>
      <c r="G1951" s="57"/>
      <c r="H1951" s="57"/>
      <c r="I1951" s="57"/>
    </row>
    <row r="1952" spans="1:9" x14ac:dyDescent="0.2">
      <c r="A1952" s="70"/>
      <c r="B1952" s="57"/>
      <c r="C1952" s="57"/>
      <c r="D1952" s="57"/>
      <c r="E1952" s="57"/>
      <c r="F1952" s="57"/>
      <c r="G1952" s="57"/>
      <c r="H1952" s="57"/>
      <c r="I1952" s="57"/>
    </row>
    <row r="1953" spans="1:9" x14ac:dyDescent="0.2">
      <c r="A1953" s="70"/>
      <c r="B1953" s="57"/>
      <c r="C1953" s="57"/>
      <c r="D1953" s="57"/>
      <c r="E1953" s="57"/>
      <c r="F1953" s="57"/>
      <c r="G1953" s="57"/>
      <c r="H1953" s="57"/>
      <c r="I1953" s="57"/>
    </row>
    <row r="1954" spans="1:9" x14ac:dyDescent="0.2">
      <c r="A1954" s="70"/>
      <c r="B1954" s="57"/>
      <c r="C1954" s="57"/>
      <c r="D1954" s="57"/>
      <c r="E1954" s="57"/>
      <c r="F1954" s="57"/>
      <c r="G1954" s="57"/>
      <c r="H1954" s="57"/>
      <c r="I1954" s="57"/>
    </row>
    <row r="1955" spans="1:9" x14ac:dyDescent="0.2">
      <c r="A1955" s="70"/>
      <c r="B1955" s="57"/>
      <c r="C1955" s="57"/>
      <c r="D1955" s="57"/>
      <c r="E1955" s="57"/>
      <c r="F1955" s="57"/>
      <c r="G1955" s="57"/>
      <c r="H1955" s="57"/>
      <c r="I1955" s="57"/>
    </row>
    <row r="1956" spans="1:9" x14ac:dyDescent="0.2">
      <c r="A1956" s="70"/>
      <c r="B1956" s="57"/>
      <c r="C1956" s="57"/>
      <c r="D1956" s="57"/>
      <c r="E1956" s="57"/>
      <c r="F1956" s="57"/>
      <c r="G1956" s="57"/>
      <c r="H1956" s="57"/>
      <c r="I1956" s="57"/>
    </row>
    <row r="1957" spans="1:9" x14ac:dyDescent="0.2">
      <c r="A1957" s="70"/>
      <c r="B1957" s="57"/>
      <c r="C1957" s="57"/>
      <c r="D1957" s="57"/>
      <c r="E1957" s="57"/>
      <c r="F1957" s="57"/>
      <c r="G1957" s="57"/>
      <c r="H1957" s="57"/>
      <c r="I1957" s="57"/>
    </row>
    <row r="1958" spans="1:9" x14ac:dyDescent="0.2">
      <c r="A1958" s="70"/>
      <c r="B1958" s="57"/>
      <c r="C1958" s="57"/>
      <c r="D1958" s="57"/>
      <c r="E1958" s="57"/>
      <c r="F1958" s="57"/>
      <c r="G1958" s="57"/>
      <c r="H1958" s="57"/>
      <c r="I1958" s="57"/>
    </row>
    <row r="1959" spans="1:9" x14ac:dyDescent="0.2">
      <c r="A1959" s="70"/>
      <c r="B1959" s="57"/>
      <c r="C1959" s="57"/>
      <c r="D1959" s="57"/>
      <c r="E1959" s="57"/>
      <c r="F1959" s="57"/>
      <c r="G1959" s="57"/>
      <c r="H1959" s="57"/>
      <c r="I1959" s="57"/>
    </row>
    <row r="1960" spans="1:9" x14ac:dyDescent="0.2">
      <c r="A1960" s="70"/>
      <c r="B1960" s="57"/>
      <c r="C1960" s="57"/>
      <c r="D1960" s="57"/>
      <c r="E1960" s="57"/>
      <c r="F1960" s="57"/>
      <c r="G1960" s="57"/>
      <c r="H1960" s="57"/>
      <c r="I1960" s="57"/>
    </row>
    <row r="1961" spans="1:9" x14ac:dyDescent="0.2">
      <c r="A1961" s="70"/>
      <c r="B1961" s="57"/>
      <c r="C1961" s="57"/>
      <c r="D1961" s="57"/>
      <c r="E1961" s="57"/>
      <c r="F1961" s="57"/>
      <c r="G1961" s="57"/>
      <c r="H1961" s="57"/>
      <c r="I1961" s="57"/>
    </row>
    <row r="1962" spans="1:9" x14ac:dyDescent="0.2">
      <c r="A1962" s="70"/>
      <c r="B1962" s="57"/>
      <c r="C1962" s="57"/>
      <c r="D1962" s="57"/>
      <c r="E1962" s="57"/>
      <c r="F1962" s="57"/>
      <c r="G1962" s="57"/>
      <c r="H1962" s="57"/>
      <c r="I1962" s="57"/>
    </row>
    <row r="1963" spans="1:9" x14ac:dyDescent="0.2">
      <c r="A1963" s="70"/>
      <c r="B1963" s="57"/>
      <c r="C1963" s="57"/>
      <c r="D1963" s="57"/>
      <c r="E1963" s="57"/>
      <c r="F1963" s="57"/>
      <c r="G1963" s="57"/>
      <c r="H1963" s="57"/>
      <c r="I1963" s="57"/>
    </row>
    <row r="1964" spans="1:9" x14ac:dyDescent="0.2">
      <c r="A1964" s="70"/>
      <c r="B1964" s="57"/>
      <c r="C1964" s="57"/>
      <c r="D1964" s="57"/>
      <c r="E1964" s="57"/>
      <c r="F1964" s="57"/>
      <c r="G1964" s="57"/>
      <c r="H1964" s="57"/>
      <c r="I1964" s="57"/>
    </row>
    <row r="1965" spans="1:9" x14ac:dyDescent="0.2">
      <c r="A1965" s="70"/>
      <c r="B1965" s="57"/>
      <c r="C1965" s="57"/>
      <c r="D1965" s="57"/>
      <c r="E1965" s="57"/>
      <c r="F1965" s="57"/>
      <c r="G1965" s="57"/>
      <c r="H1965" s="57"/>
      <c r="I1965" s="57"/>
    </row>
    <row r="1966" spans="1:9" x14ac:dyDescent="0.2">
      <c r="A1966" s="70"/>
      <c r="B1966" s="57"/>
      <c r="C1966" s="57"/>
      <c r="D1966" s="57"/>
      <c r="E1966" s="57"/>
      <c r="F1966" s="57"/>
      <c r="G1966" s="57"/>
      <c r="H1966" s="57"/>
      <c r="I1966" s="57"/>
    </row>
    <row r="1967" spans="1:9" x14ac:dyDescent="0.2">
      <c r="A1967" s="70"/>
      <c r="B1967" s="57"/>
      <c r="C1967" s="57"/>
      <c r="D1967" s="57"/>
      <c r="E1967" s="57"/>
      <c r="F1967" s="57"/>
      <c r="G1967" s="57"/>
      <c r="H1967" s="57"/>
      <c r="I1967" s="57"/>
    </row>
    <row r="1968" spans="1:9" x14ac:dyDescent="0.2">
      <c r="A1968" s="70"/>
      <c r="B1968" s="57"/>
      <c r="C1968" s="57"/>
      <c r="D1968" s="57"/>
      <c r="E1968" s="57"/>
      <c r="F1968" s="57"/>
      <c r="G1968" s="57"/>
      <c r="H1968" s="57"/>
      <c r="I1968" s="57"/>
    </row>
    <row r="1969" spans="1:9" x14ac:dyDescent="0.2">
      <c r="A1969" s="70"/>
      <c r="B1969" s="57"/>
      <c r="C1969" s="57"/>
      <c r="D1969" s="57"/>
      <c r="E1969" s="57"/>
      <c r="F1969" s="57"/>
      <c r="G1969" s="57"/>
      <c r="H1969" s="57"/>
      <c r="I1969" s="57"/>
    </row>
    <row r="1970" spans="1:9" x14ac:dyDescent="0.2">
      <c r="A1970" s="70"/>
      <c r="B1970" s="57"/>
      <c r="C1970" s="57"/>
      <c r="D1970" s="57"/>
      <c r="E1970" s="57"/>
      <c r="F1970" s="57"/>
      <c r="G1970" s="57"/>
      <c r="H1970" s="57"/>
      <c r="I1970" s="57"/>
    </row>
    <row r="1971" spans="1:9" x14ac:dyDescent="0.2">
      <c r="A1971" s="70"/>
      <c r="B1971" s="57"/>
      <c r="C1971" s="57"/>
      <c r="D1971" s="57"/>
      <c r="E1971" s="57"/>
      <c r="F1971" s="57"/>
      <c r="G1971" s="57"/>
      <c r="H1971" s="57"/>
      <c r="I1971" s="57"/>
    </row>
    <row r="1972" spans="1:9" x14ac:dyDescent="0.2">
      <c r="A1972" s="70"/>
      <c r="B1972" s="57"/>
      <c r="C1972" s="57"/>
      <c r="D1972" s="57"/>
      <c r="E1972" s="57"/>
      <c r="F1972" s="57"/>
      <c r="G1972" s="57"/>
      <c r="H1972" s="57"/>
      <c r="I1972" s="57"/>
    </row>
    <row r="1973" spans="1:9" x14ac:dyDescent="0.2">
      <c r="A1973" s="70"/>
      <c r="B1973" s="57"/>
      <c r="C1973" s="57"/>
      <c r="D1973" s="57"/>
      <c r="E1973" s="57"/>
      <c r="F1973" s="57"/>
      <c r="G1973" s="57"/>
      <c r="H1973" s="57"/>
      <c r="I1973" s="57"/>
    </row>
    <row r="1974" spans="1:9" x14ac:dyDescent="0.2">
      <c r="A1974" s="70"/>
      <c r="B1974" s="57"/>
      <c r="C1974" s="57"/>
      <c r="D1974" s="57"/>
      <c r="E1974" s="57"/>
      <c r="F1974" s="57"/>
      <c r="G1974" s="57"/>
      <c r="H1974" s="57"/>
      <c r="I1974" s="57"/>
    </row>
    <row r="1975" spans="1:9" x14ac:dyDescent="0.2">
      <c r="A1975" s="70"/>
      <c r="B1975" s="57"/>
      <c r="C1975" s="57"/>
      <c r="D1975" s="57"/>
      <c r="E1975" s="57"/>
      <c r="F1975" s="57"/>
      <c r="G1975" s="57"/>
      <c r="H1975" s="57"/>
      <c r="I1975" s="57"/>
    </row>
    <row r="1976" spans="1:9" x14ac:dyDescent="0.2">
      <c r="A1976" s="70"/>
      <c r="B1976" s="57"/>
      <c r="C1976" s="57"/>
      <c r="D1976" s="57"/>
      <c r="E1976" s="57"/>
      <c r="F1976" s="57"/>
      <c r="G1976" s="57"/>
      <c r="H1976" s="57"/>
      <c r="I1976" s="57"/>
    </row>
    <row r="1977" spans="1:9" x14ac:dyDescent="0.2">
      <c r="A1977" s="70"/>
      <c r="B1977" s="57"/>
      <c r="C1977" s="57"/>
      <c r="D1977" s="57"/>
      <c r="E1977" s="57"/>
      <c r="F1977" s="57"/>
      <c r="G1977" s="57"/>
      <c r="H1977" s="57"/>
      <c r="I1977" s="57"/>
    </row>
    <row r="1978" spans="1:9" x14ac:dyDescent="0.2">
      <c r="A1978" s="70"/>
      <c r="B1978" s="57"/>
      <c r="C1978" s="57"/>
      <c r="D1978" s="57"/>
      <c r="E1978" s="57"/>
      <c r="F1978" s="57"/>
      <c r="G1978" s="57"/>
      <c r="H1978" s="57"/>
      <c r="I1978" s="57"/>
    </row>
    <row r="1979" spans="1:9" x14ac:dyDescent="0.2">
      <c r="A1979" s="70"/>
      <c r="B1979" s="57"/>
      <c r="C1979" s="57"/>
      <c r="D1979" s="57"/>
      <c r="E1979" s="57"/>
      <c r="F1979" s="57"/>
      <c r="G1979" s="57"/>
      <c r="H1979" s="57"/>
      <c r="I1979" s="57"/>
    </row>
    <row r="1980" spans="1:9" x14ac:dyDescent="0.2">
      <c r="A1980" s="70"/>
      <c r="B1980" s="57"/>
      <c r="C1980" s="57"/>
      <c r="D1980" s="57"/>
      <c r="E1980" s="57"/>
      <c r="F1980" s="57"/>
      <c r="G1980" s="57"/>
      <c r="H1980" s="57"/>
      <c r="I1980" s="57"/>
    </row>
    <row r="1981" spans="1:9" x14ac:dyDescent="0.2">
      <c r="A1981" s="70"/>
      <c r="B1981" s="57"/>
      <c r="C1981" s="57"/>
      <c r="D1981" s="57"/>
      <c r="E1981" s="57"/>
      <c r="F1981" s="57"/>
      <c r="G1981" s="57"/>
      <c r="H1981" s="57"/>
      <c r="I1981" s="57"/>
    </row>
    <row r="1982" spans="1:9" x14ac:dyDescent="0.2">
      <c r="A1982" s="70"/>
      <c r="B1982" s="57"/>
      <c r="C1982" s="57"/>
      <c r="D1982" s="57"/>
      <c r="E1982" s="57"/>
      <c r="F1982" s="57"/>
      <c r="G1982" s="57"/>
      <c r="H1982" s="57"/>
      <c r="I1982" s="57"/>
    </row>
    <row r="1983" spans="1:9" x14ac:dyDescent="0.2">
      <c r="A1983" s="70"/>
      <c r="B1983" s="57"/>
      <c r="C1983" s="57"/>
      <c r="D1983" s="57"/>
      <c r="E1983" s="57"/>
      <c r="F1983" s="57"/>
      <c r="G1983" s="57"/>
      <c r="H1983" s="57"/>
      <c r="I1983" s="57"/>
    </row>
    <row r="1984" spans="1:9" x14ac:dyDescent="0.2">
      <c r="A1984" s="70"/>
      <c r="B1984" s="57"/>
      <c r="C1984" s="57"/>
      <c r="D1984" s="57"/>
      <c r="E1984" s="57"/>
      <c r="F1984" s="57"/>
      <c r="G1984" s="57"/>
      <c r="H1984" s="57"/>
      <c r="I1984" s="57"/>
    </row>
    <row r="1985" spans="1:9" x14ac:dyDescent="0.2">
      <c r="A1985" s="70"/>
      <c r="B1985" s="57"/>
      <c r="C1985" s="57"/>
      <c r="D1985" s="57"/>
      <c r="E1985" s="57"/>
      <c r="F1985" s="57"/>
      <c r="G1985" s="57"/>
      <c r="H1985" s="57"/>
      <c r="I1985" s="57"/>
    </row>
    <row r="1986" spans="1:9" x14ac:dyDescent="0.2">
      <c r="A1986" s="70"/>
      <c r="B1986" s="57"/>
      <c r="C1986" s="57"/>
      <c r="D1986" s="57"/>
      <c r="E1986" s="57"/>
      <c r="F1986" s="57"/>
      <c r="G1986" s="57"/>
      <c r="H1986" s="57"/>
      <c r="I1986" s="57"/>
    </row>
    <row r="1987" spans="1:9" x14ac:dyDescent="0.2">
      <c r="A1987" s="70"/>
      <c r="B1987" s="57"/>
      <c r="C1987" s="57"/>
      <c r="D1987" s="57"/>
      <c r="E1987" s="57"/>
      <c r="F1987" s="57"/>
      <c r="G1987" s="57"/>
      <c r="H1987" s="57"/>
      <c r="I1987" s="57"/>
    </row>
    <row r="1988" spans="1:9" x14ac:dyDescent="0.2">
      <c r="A1988" s="70"/>
      <c r="B1988" s="57"/>
      <c r="C1988" s="57"/>
      <c r="D1988" s="57"/>
      <c r="E1988" s="57"/>
      <c r="F1988" s="57"/>
      <c r="G1988" s="57"/>
      <c r="H1988" s="57"/>
      <c r="I1988" s="57"/>
    </row>
    <row r="1989" spans="1:9" x14ac:dyDescent="0.2">
      <c r="A1989" s="70"/>
      <c r="B1989" s="57"/>
      <c r="C1989" s="57"/>
      <c r="D1989" s="57"/>
      <c r="E1989" s="57"/>
      <c r="F1989" s="57"/>
      <c r="G1989" s="57"/>
      <c r="H1989" s="57"/>
      <c r="I1989" s="57"/>
    </row>
    <row r="1990" spans="1:9" x14ac:dyDescent="0.2">
      <c r="A1990" s="70"/>
      <c r="B1990" s="57"/>
      <c r="C1990" s="57"/>
      <c r="D1990" s="57"/>
      <c r="E1990" s="57"/>
      <c r="F1990" s="57"/>
      <c r="G1990" s="57"/>
      <c r="H1990" s="57"/>
      <c r="I1990" s="57"/>
    </row>
    <row r="1991" spans="1:9" x14ac:dyDescent="0.2">
      <c r="A1991" s="70"/>
      <c r="B1991" s="57"/>
      <c r="C1991" s="57"/>
      <c r="D1991" s="57"/>
      <c r="E1991" s="57"/>
      <c r="F1991" s="57"/>
      <c r="G1991" s="57"/>
      <c r="H1991" s="57"/>
      <c r="I1991" s="57"/>
    </row>
    <row r="1992" spans="1:9" x14ac:dyDescent="0.2">
      <c r="A1992" s="70"/>
      <c r="B1992" s="57"/>
      <c r="C1992" s="57"/>
      <c r="D1992" s="57"/>
      <c r="E1992" s="57"/>
      <c r="F1992" s="57"/>
      <c r="G1992" s="57"/>
      <c r="H1992" s="57"/>
      <c r="I1992" s="57"/>
    </row>
    <row r="1993" spans="1:9" x14ac:dyDescent="0.2">
      <c r="A1993" s="70"/>
      <c r="B1993" s="57"/>
      <c r="C1993" s="57"/>
      <c r="D1993" s="57"/>
      <c r="E1993" s="57"/>
      <c r="F1993" s="57"/>
      <c r="G1993" s="57"/>
      <c r="H1993" s="57"/>
      <c r="I1993" s="57"/>
    </row>
    <row r="1994" spans="1:9" x14ac:dyDescent="0.2">
      <c r="A1994" s="70"/>
      <c r="B1994" s="57"/>
      <c r="C1994" s="57"/>
      <c r="D1994" s="57"/>
      <c r="E1994" s="57"/>
      <c r="F1994" s="57"/>
      <c r="G1994" s="57"/>
      <c r="H1994" s="57"/>
      <c r="I1994" s="57"/>
    </row>
    <row r="1995" spans="1:9" x14ac:dyDescent="0.2">
      <c r="A1995" s="70"/>
      <c r="B1995" s="57"/>
      <c r="C1995" s="57"/>
      <c r="D1995" s="57"/>
      <c r="E1995" s="57"/>
      <c r="F1995" s="57"/>
      <c r="G1995" s="57"/>
      <c r="H1995" s="57"/>
      <c r="I1995" s="57"/>
    </row>
    <row r="1996" spans="1:9" x14ac:dyDescent="0.2">
      <c r="A1996" s="70"/>
      <c r="B1996" s="57"/>
      <c r="C1996" s="57"/>
      <c r="D1996" s="57"/>
      <c r="E1996" s="57"/>
      <c r="F1996" s="57"/>
      <c r="G1996" s="57"/>
      <c r="H1996" s="57"/>
      <c r="I1996" s="57"/>
    </row>
    <row r="1997" spans="1:9" x14ac:dyDescent="0.2">
      <c r="A1997" s="70"/>
      <c r="B1997" s="57"/>
      <c r="C1997" s="57"/>
      <c r="D1997" s="57"/>
      <c r="E1997" s="57"/>
      <c r="F1997" s="57"/>
      <c r="G1997" s="57"/>
      <c r="H1997" s="57"/>
      <c r="I1997" s="57"/>
    </row>
    <row r="1998" spans="1:9" x14ac:dyDescent="0.2">
      <c r="A1998" s="70"/>
      <c r="B1998" s="57"/>
      <c r="C1998" s="57"/>
      <c r="D1998" s="57"/>
      <c r="E1998" s="57"/>
      <c r="F1998" s="57"/>
      <c r="G1998" s="57"/>
      <c r="H1998" s="57"/>
      <c r="I1998" s="57"/>
    </row>
    <row r="1999" spans="1:9" x14ac:dyDescent="0.2">
      <c r="A1999" s="70"/>
      <c r="B1999" s="57"/>
      <c r="C1999" s="57"/>
      <c r="D1999" s="57"/>
      <c r="E1999" s="57"/>
      <c r="F1999" s="57"/>
      <c r="G1999" s="57"/>
      <c r="H1999" s="57"/>
      <c r="I1999" s="57"/>
    </row>
    <row r="2000" spans="1:9" x14ac:dyDescent="0.2">
      <c r="A2000" s="70"/>
      <c r="B2000" s="57"/>
      <c r="C2000" s="57"/>
      <c r="D2000" s="57"/>
      <c r="E2000" s="57"/>
      <c r="F2000" s="57"/>
      <c r="G2000" s="57"/>
      <c r="H2000" s="57"/>
      <c r="I2000" s="5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1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59765625" customWidth="1"/>
    <col min="2" max="2" width="8" customWidth="1"/>
    <col min="3" max="4" width="6.19921875" customWidth="1"/>
    <col min="5" max="5" width="6.796875" customWidth="1"/>
    <col min="6" max="6" width="10" customWidth="1"/>
    <col min="7" max="7" width="9.796875" customWidth="1"/>
  </cols>
  <sheetData>
    <row r="1" spans="1:26" x14ac:dyDescent="0.2">
      <c r="A1" s="68" t="s">
        <v>158</v>
      </c>
      <c r="B1" s="68" t="s">
        <v>148</v>
      </c>
      <c r="C1" s="68" t="s">
        <v>188</v>
      </c>
      <c r="D1" s="68" t="s">
        <v>167</v>
      </c>
      <c r="E1" s="68" t="s">
        <v>150</v>
      </c>
      <c r="F1" s="68" t="s">
        <v>171</v>
      </c>
      <c r="G1" s="68" t="s">
        <v>172</v>
      </c>
      <c r="H1" s="68" t="s">
        <v>189</v>
      </c>
      <c r="I1" s="57" t="s">
        <v>190</v>
      </c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x14ac:dyDescent="0.2">
      <c r="A2" s="70">
        <v>44665</v>
      </c>
      <c r="B2" s="57">
        <v>2380</v>
      </c>
      <c r="C2" s="57">
        <v>1</v>
      </c>
      <c r="D2" s="57" t="s">
        <v>175</v>
      </c>
      <c r="E2" s="57">
        <v>1</v>
      </c>
      <c r="F2" s="57">
        <v>0.18990000000000001</v>
      </c>
      <c r="G2" s="57">
        <v>0.99199999999999999</v>
      </c>
      <c r="H2" s="57" t="s">
        <v>191</v>
      </c>
      <c r="I2" s="33">
        <f t="shared" ref="I2:I256" si="0">((F2-G2)/G2)</f>
        <v>-0.8085685483870968</v>
      </c>
    </row>
    <row r="3" spans="1:26" x14ac:dyDescent="0.2">
      <c r="A3" s="70">
        <v>44704</v>
      </c>
      <c r="B3" s="57">
        <v>2022</v>
      </c>
      <c r="C3" s="57">
        <v>1</v>
      </c>
      <c r="D3" s="57" t="s">
        <v>175</v>
      </c>
      <c r="E3" s="57">
        <v>0</v>
      </c>
      <c r="F3" s="57">
        <v>2.3709999999999998E-2</v>
      </c>
      <c r="G3" s="57">
        <v>0.11899999999999999</v>
      </c>
      <c r="I3" s="33">
        <f t="shared" si="0"/>
        <v>-0.80075630252100849</v>
      </c>
    </row>
    <row r="4" spans="1:26" x14ac:dyDescent="0.2">
      <c r="A4" s="70">
        <v>44690</v>
      </c>
      <c r="B4" s="57">
        <v>2031</v>
      </c>
      <c r="C4" s="57">
        <v>3</v>
      </c>
      <c r="D4" s="57" t="s">
        <v>175</v>
      </c>
      <c r="E4" s="57">
        <v>1</v>
      </c>
      <c r="F4" s="57">
        <v>0.1087</v>
      </c>
      <c r="G4" s="57">
        <v>0.14680000000000001</v>
      </c>
      <c r="I4" s="33">
        <f t="shared" si="0"/>
        <v>-0.25953678474114444</v>
      </c>
    </row>
    <row r="5" spans="1:26" x14ac:dyDescent="0.2">
      <c r="A5" s="70">
        <v>44690</v>
      </c>
      <c r="B5" s="57">
        <v>2030</v>
      </c>
      <c r="C5" s="57">
        <v>2</v>
      </c>
      <c r="D5" s="57" t="s">
        <v>192</v>
      </c>
      <c r="E5" s="57">
        <v>1</v>
      </c>
      <c r="F5" s="57">
        <v>0.26500000000000001</v>
      </c>
      <c r="G5" s="57">
        <v>0.35349999999999998</v>
      </c>
      <c r="I5" s="33">
        <f t="shared" si="0"/>
        <v>-0.25035360678925028</v>
      </c>
    </row>
    <row r="6" spans="1:26" x14ac:dyDescent="0.2">
      <c r="A6" s="70">
        <v>44690</v>
      </c>
      <c r="B6" s="57">
        <v>2005</v>
      </c>
      <c r="C6" s="57">
        <v>1</v>
      </c>
      <c r="D6" s="57" t="s">
        <v>175</v>
      </c>
      <c r="E6" s="57">
        <v>0</v>
      </c>
      <c r="F6" s="57">
        <v>0.16830000000000001</v>
      </c>
      <c r="G6" s="57">
        <v>0.218</v>
      </c>
      <c r="I6" s="33">
        <f t="shared" si="0"/>
        <v>-0.22798165137614676</v>
      </c>
    </row>
    <row r="7" spans="1:26" x14ac:dyDescent="0.2">
      <c r="A7" s="70">
        <v>44690</v>
      </c>
      <c r="B7" s="57">
        <v>2030</v>
      </c>
      <c r="C7" s="57">
        <v>1</v>
      </c>
      <c r="D7" s="57" t="s">
        <v>192</v>
      </c>
      <c r="E7" s="57">
        <v>0</v>
      </c>
      <c r="F7" s="57">
        <v>0.56059999999999999</v>
      </c>
      <c r="G7" s="57">
        <v>0.52200000000000002</v>
      </c>
      <c r="I7" s="33">
        <f t="shared" si="0"/>
        <v>7.3946360153256646E-2</v>
      </c>
    </row>
    <row r="8" spans="1:26" x14ac:dyDescent="0.2">
      <c r="A8" s="70">
        <v>44708</v>
      </c>
      <c r="B8" s="57">
        <v>2093</v>
      </c>
      <c r="C8" s="57">
        <v>1</v>
      </c>
      <c r="D8" s="57" t="s">
        <v>192</v>
      </c>
      <c r="E8" s="57">
        <v>1</v>
      </c>
      <c r="F8" s="57">
        <v>0.29670000000000002</v>
      </c>
      <c r="G8" s="57">
        <v>0.19400000000000001</v>
      </c>
      <c r="H8" s="57" t="s">
        <v>193</v>
      </c>
      <c r="I8" s="33">
        <f t="shared" si="0"/>
        <v>0.52938144329896908</v>
      </c>
    </row>
    <row r="9" spans="1:26" x14ac:dyDescent="0.2">
      <c r="A9" s="70">
        <v>44706</v>
      </c>
      <c r="B9" s="57">
        <v>2380</v>
      </c>
      <c r="C9" s="57">
        <v>1</v>
      </c>
      <c r="D9" s="57" t="s">
        <v>192</v>
      </c>
      <c r="E9" s="57">
        <v>1</v>
      </c>
      <c r="F9" s="57">
        <v>1.2282999999999999</v>
      </c>
      <c r="G9" s="57">
        <v>0.79600000000000004</v>
      </c>
      <c r="H9" s="57" t="s">
        <v>193</v>
      </c>
      <c r="I9" s="33">
        <f t="shared" si="0"/>
        <v>0.54309045226130637</v>
      </c>
    </row>
    <row r="10" spans="1:26" x14ac:dyDescent="0.2">
      <c r="A10" s="70">
        <v>44650</v>
      </c>
      <c r="B10" s="57">
        <v>2352</v>
      </c>
      <c r="C10" s="57">
        <v>3</v>
      </c>
      <c r="D10" s="57" t="s">
        <v>192</v>
      </c>
      <c r="E10" s="57" t="s">
        <v>60</v>
      </c>
      <c r="F10" s="57">
        <v>0.67820000000000003</v>
      </c>
      <c r="G10" s="57">
        <v>0.437</v>
      </c>
      <c r="H10" s="57" t="s">
        <v>191</v>
      </c>
      <c r="I10" s="33">
        <f t="shared" si="0"/>
        <v>0.5519450800915332</v>
      </c>
    </row>
    <row r="11" spans="1:26" x14ac:dyDescent="0.2">
      <c r="A11" s="70">
        <v>44685</v>
      </c>
      <c r="B11" s="57">
        <v>2352</v>
      </c>
      <c r="C11" s="57">
        <v>3</v>
      </c>
      <c r="D11" s="57" t="s">
        <v>192</v>
      </c>
      <c r="E11" s="57">
        <v>1</v>
      </c>
      <c r="F11" s="57">
        <v>0.45800000000000002</v>
      </c>
      <c r="G11" s="57">
        <v>0.29470000000000002</v>
      </c>
      <c r="I11" s="33">
        <f t="shared" si="0"/>
        <v>0.55412283678316931</v>
      </c>
    </row>
    <row r="12" spans="1:26" x14ac:dyDescent="0.2">
      <c r="A12" s="70">
        <v>44708</v>
      </c>
      <c r="B12" s="57">
        <v>2093</v>
      </c>
      <c r="C12" s="57">
        <v>3</v>
      </c>
      <c r="D12" s="57" t="s">
        <v>192</v>
      </c>
      <c r="E12" s="57">
        <v>1</v>
      </c>
      <c r="F12" s="57">
        <v>0.82699999999999996</v>
      </c>
      <c r="G12" s="57">
        <v>0.53200000000000003</v>
      </c>
      <c r="H12" s="57" t="s">
        <v>193</v>
      </c>
      <c r="I12" s="33">
        <f t="shared" si="0"/>
        <v>0.55451127819548851</v>
      </c>
    </row>
    <row r="13" spans="1:26" x14ac:dyDescent="0.2">
      <c r="A13" s="70">
        <v>44685</v>
      </c>
      <c r="B13" s="57">
        <v>2380</v>
      </c>
      <c r="C13" s="57">
        <v>2</v>
      </c>
      <c r="D13" s="57" t="s">
        <v>192</v>
      </c>
      <c r="E13" s="57">
        <v>1</v>
      </c>
      <c r="F13" s="57">
        <v>2.2170000000000001</v>
      </c>
      <c r="G13" s="57">
        <v>1.4172</v>
      </c>
      <c r="I13" s="33">
        <f t="shared" si="0"/>
        <v>0.56435224386113469</v>
      </c>
    </row>
    <row r="14" spans="1:26" x14ac:dyDescent="0.2">
      <c r="A14" s="70">
        <v>44690</v>
      </c>
      <c r="B14" s="57">
        <v>2091</v>
      </c>
      <c r="C14" s="57">
        <v>1</v>
      </c>
      <c r="D14" s="57" t="s">
        <v>192</v>
      </c>
      <c r="E14" s="57">
        <v>1</v>
      </c>
      <c r="F14" s="57">
        <v>0.44769999999999999</v>
      </c>
      <c r="G14" s="57">
        <v>0.28499999999999998</v>
      </c>
      <c r="I14" s="33">
        <f t="shared" si="0"/>
        <v>0.57087719298245621</v>
      </c>
    </row>
    <row r="15" spans="1:26" x14ac:dyDescent="0.2">
      <c r="A15" s="70">
        <v>44706</v>
      </c>
      <c r="B15" s="57">
        <v>2380</v>
      </c>
      <c r="C15" s="57">
        <v>3</v>
      </c>
      <c r="D15" s="57" t="s">
        <v>192</v>
      </c>
      <c r="E15" s="57">
        <v>1</v>
      </c>
      <c r="F15" s="57">
        <v>0.99650000000000005</v>
      </c>
      <c r="G15" s="57">
        <v>0.63100000000000001</v>
      </c>
      <c r="H15" s="57" t="s">
        <v>193</v>
      </c>
      <c r="I15" s="33">
        <f t="shared" si="0"/>
        <v>0.57923930269413637</v>
      </c>
    </row>
    <row r="16" spans="1:26" x14ac:dyDescent="0.2">
      <c r="A16" s="70">
        <v>44650</v>
      </c>
      <c r="B16" s="57">
        <v>2352</v>
      </c>
      <c r="C16" s="57">
        <v>2</v>
      </c>
      <c r="D16" s="57" t="s">
        <v>192</v>
      </c>
      <c r="E16" s="57" t="s">
        <v>60</v>
      </c>
      <c r="F16" s="57">
        <v>0.88770000000000004</v>
      </c>
      <c r="G16" s="57">
        <v>0.56200000000000006</v>
      </c>
      <c r="H16" s="57" t="s">
        <v>191</v>
      </c>
      <c r="I16" s="33">
        <f t="shared" si="0"/>
        <v>0.57953736654804267</v>
      </c>
    </row>
    <row r="17" spans="1:9" x14ac:dyDescent="0.2">
      <c r="A17" s="70">
        <v>44706</v>
      </c>
      <c r="B17" s="57">
        <v>2022</v>
      </c>
      <c r="C17" s="57">
        <v>2</v>
      </c>
      <c r="D17" s="57" t="s">
        <v>192</v>
      </c>
      <c r="E17" s="57">
        <v>1</v>
      </c>
      <c r="F17" s="57">
        <v>0.8538</v>
      </c>
      <c r="G17" s="57">
        <v>0.53900000000000003</v>
      </c>
      <c r="H17" s="57" t="s">
        <v>193</v>
      </c>
      <c r="I17" s="33">
        <f t="shared" si="0"/>
        <v>0.58404452690166964</v>
      </c>
    </row>
    <row r="18" spans="1:9" x14ac:dyDescent="0.2">
      <c r="A18" s="70">
        <v>44706</v>
      </c>
      <c r="B18" s="57">
        <v>2352</v>
      </c>
      <c r="C18" s="57">
        <v>2</v>
      </c>
      <c r="D18" s="57" t="s">
        <v>192</v>
      </c>
      <c r="E18" s="57">
        <v>1</v>
      </c>
      <c r="F18" s="57">
        <v>0.98540000000000005</v>
      </c>
      <c r="G18" s="57">
        <v>0.622</v>
      </c>
      <c r="H18" s="57" t="s">
        <v>193</v>
      </c>
      <c r="I18" s="33">
        <f t="shared" si="0"/>
        <v>0.58424437299035381</v>
      </c>
    </row>
    <row r="19" spans="1:9" x14ac:dyDescent="0.2">
      <c r="A19" s="70">
        <v>44685</v>
      </c>
      <c r="B19" s="57">
        <v>2380</v>
      </c>
      <c r="C19" s="57">
        <v>1</v>
      </c>
      <c r="D19" s="57" t="s">
        <v>192</v>
      </c>
      <c r="E19" s="57">
        <v>1</v>
      </c>
      <c r="F19" s="57">
        <v>2.4192</v>
      </c>
      <c r="G19" s="57">
        <v>1.5248999999999999</v>
      </c>
      <c r="I19" s="33">
        <f t="shared" si="0"/>
        <v>0.58646468620893177</v>
      </c>
    </row>
    <row r="20" spans="1:9" x14ac:dyDescent="0.2">
      <c r="A20" s="70">
        <v>44685</v>
      </c>
      <c r="B20" s="57">
        <v>2331</v>
      </c>
      <c r="C20" s="57">
        <v>3</v>
      </c>
      <c r="D20" s="57" t="s">
        <v>192</v>
      </c>
      <c r="E20" s="57">
        <v>1</v>
      </c>
      <c r="F20" s="57">
        <v>1.6048</v>
      </c>
      <c r="G20" s="57">
        <v>1.0086999999999999</v>
      </c>
      <c r="I20" s="33">
        <f t="shared" si="0"/>
        <v>0.59095865966094985</v>
      </c>
    </row>
    <row r="21" spans="1:9" x14ac:dyDescent="0.2">
      <c r="A21" s="70">
        <v>44685</v>
      </c>
      <c r="B21" s="57">
        <v>2352</v>
      </c>
      <c r="C21" s="57">
        <v>1</v>
      </c>
      <c r="D21" s="57" t="s">
        <v>192</v>
      </c>
      <c r="E21" s="57">
        <v>1</v>
      </c>
      <c r="F21" s="57">
        <v>0.56299999999999994</v>
      </c>
      <c r="G21" s="57">
        <v>0.35339999999999999</v>
      </c>
      <c r="I21" s="33">
        <f t="shared" si="0"/>
        <v>0.59309564233163548</v>
      </c>
    </row>
    <row r="22" spans="1:9" x14ac:dyDescent="0.2">
      <c r="A22" s="70">
        <v>44706</v>
      </c>
      <c r="B22" s="57">
        <v>2352</v>
      </c>
      <c r="C22" s="57">
        <v>1</v>
      </c>
      <c r="D22" s="57" t="s">
        <v>192</v>
      </c>
      <c r="E22" s="57">
        <v>1</v>
      </c>
      <c r="F22" s="57">
        <v>0.48309999999999997</v>
      </c>
      <c r="G22" s="57">
        <v>0.30299999999999999</v>
      </c>
      <c r="H22" s="57" t="s">
        <v>193</v>
      </c>
      <c r="I22" s="33">
        <f t="shared" si="0"/>
        <v>0.5943894389438944</v>
      </c>
    </row>
    <row r="23" spans="1:9" x14ac:dyDescent="0.2">
      <c r="A23" s="70">
        <v>44708</v>
      </c>
      <c r="B23" s="57">
        <v>2093</v>
      </c>
      <c r="C23" s="57">
        <v>3</v>
      </c>
      <c r="D23" s="57" t="s">
        <v>192</v>
      </c>
      <c r="E23" s="57">
        <v>1</v>
      </c>
      <c r="F23" s="57">
        <v>0.184</v>
      </c>
      <c r="G23" s="57">
        <v>0.115</v>
      </c>
      <c r="H23" s="57" t="s">
        <v>193</v>
      </c>
      <c r="I23" s="33">
        <f t="shared" si="0"/>
        <v>0.59999999999999987</v>
      </c>
    </row>
    <row r="24" spans="1:9" x14ac:dyDescent="0.2">
      <c r="A24" s="70">
        <v>44685</v>
      </c>
      <c r="B24" s="57">
        <v>2331</v>
      </c>
      <c r="C24" s="57">
        <v>2</v>
      </c>
      <c r="D24" s="57" t="s">
        <v>192</v>
      </c>
      <c r="E24" s="57">
        <v>1</v>
      </c>
      <c r="F24" s="57">
        <v>1.0573999999999999</v>
      </c>
      <c r="G24" s="57">
        <v>0.65980000000000005</v>
      </c>
      <c r="I24" s="33">
        <f t="shared" si="0"/>
        <v>0.60260685056077568</v>
      </c>
    </row>
    <row r="25" spans="1:9" x14ac:dyDescent="0.2">
      <c r="A25" s="70">
        <v>44708</v>
      </c>
      <c r="B25" s="57">
        <v>2091</v>
      </c>
      <c r="C25" s="57">
        <v>3</v>
      </c>
      <c r="D25" s="57" t="s">
        <v>192</v>
      </c>
      <c r="E25" s="57">
        <v>1</v>
      </c>
      <c r="F25" s="57">
        <v>2.6320000000000001</v>
      </c>
      <c r="G25" s="57">
        <v>1.6379999999999999</v>
      </c>
      <c r="H25" s="57" t="s">
        <v>193</v>
      </c>
      <c r="I25" s="33">
        <f t="shared" si="0"/>
        <v>0.60683760683760701</v>
      </c>
    </row>
    <row r="26" spans="1:9" x14ac:dyDescent="0.2">
      <c r="A26" s="70">
        <v>44665</v>
      </c>
      <c r="B26" s="57">
        <v>2380</v>
      </c>
      <c r="C26" s="57">
        <v>1</v>
      </c>
      <c r="D26" s="57" t="s">
        <v>192</v>
      </c>
      <c r="E26" s="57">
        <v>1</v>
      </c>
      <c r="F26" s="57">
        <v>1.1483000000000001</v>
      </c>
      <c r="G26" s="57">
        <v>0.71440000000000003</v>
      </c>
      <c r="H26" s="57" t="s">
        <v>191</v>
      </c>
      <c r="I26" s="33">
        <f t="shared" si="0"/>
        <v>0.60736282194848834</v>
      </c>
    </row>
    <row r="27" spans="1:9" x14ac:dyDescent="0.2">
      <c r="A27" s="70">
        <v>44635</v>
      </c>
      <c r="B27" s="57">
        <v>2380</v>
      </c>
      <c r="C27" s="57">
        <v>1</v>
      </c>
      <c r="D27" s="57" t="s">
        <v>192</v>
      </c>
      <c r="E27" s="57" t="s">
        <v>60</v>
      </c>
      <c r="F27" s="57">
        <v>3.0710000000000002</v>
      </c>
      <c r="G27" s="57">
        <v>1.91</v>
      </c>
      <c r="H27" s="57" t="s">
        <v>194</v>
      </c>
      <c r="I27" s="33">
        <f t="shared" si="0"/>
        <v>0.60785340314136138</v>
      </c>
    </row>
    <row r="28" spans="1:9" x14ac:dyDescent="0.2">
      <c r="A28" s="70">
        <v>44708</v>
      </c>
      <c r="B28" s="57">
        <v>2091</v>
      </c>
      <c r="C28" s="57">
        <v>1</v>
      </c>
      <c r="D28" s="57" t="s">
        <v>192</v>
      </c>
      <c r="E28" s="57">
        <v>1</v>
      </c>
      <c r="F28" s="57">
        <v>1.8882000000000001</v>
      </c>
      <c r="G28" s="57">
        <v>1.1739999999999999</v>
      </c>
      <c r="H28" s="57" t="s">
        <v>193</v>
      </c>
      <c r="I28" s="33">
        <f t="shared" si="0"/>
        <v>0.60834752981260665</v>
      </c>
    </row>
    <row r="29" spans="1:9" x14ac:dyDescent="0.2">
      <c r="A29" s="70">
        <v>44708</v>
      </c>
      <c r="B29" s="57">
        <v>2089</v>
      </c>
      <c r="C29" s="57">
        <v>2</v>
      </c>
      <c r="D29" s="57" t="s">
        <v>192</v>
      </c>
      <c r="E29" s="57">
        <v>1</v>
      </c>
      <c r="F29" s="57">
        <v>1.329</v>
      </c>
      <c r="G29" s="57">
        <v>0.82599999999999996</v>
      </c>
      <c r="H29" s="57" t="s">
        <v>193</v>
      </c>
      <c r="I29" s="33">
        <f t="shared" si="0"/>
        <v>0.60895883777239712</v>
      </c>
    </row>
    <row r="30" spans="1:9" x14ac:dyDescent="0.2">
      <c r="A30" s="70">
        <v>44635</v>
      </c>
      <c r="B30" s="57">
        <v>2377</v>
      </c>
      <c r="C30" s="57">
        <v>1</v>
      </c>
      <c r="D30" s="57" t="s">
        <v>192</v>
      </c>
      <c r="E30" s="57" t="s">
        <v>60</v>
      </c>
      <c r="F30" s="57">
        <v>2.3180000000000001</v>
      </c>
      <c r="G30" s="57">
        <v>1.4379999999999999</v>
      </c>
      <c r="H30" s="57" t="s">
        <v>194</v>
      </c>
      <c r="I30" s="33">
        <f t="shared" si="0"/>
        <v>0.61196105702364401</v>
      </c>
    </row>
    <row r="31" spans="1:9" x14ac:dyDescent="0.2">
      <c r="A31" s="70">
        <v>44690</v>
      </c>
      <c r="B31" s="57">
        <v>2092</v>
      </c>
      <c r="C31" s="57">
        <v>3</v>
      </c>
      <c r="D31" s="57" t="s">
        <v>192</v>
      </c>
      <c r="E31" s="57">
        <v>1</v>
      </c>
      <c r="F31" s="57">
        <v>1.1203000000000001</v>
      </c>
      <c r="G31" s="57">
        <v>0.69299999999999995</v>
      </c>
      <c r="I31" s="33">
        <f t="shared" si="0"/>
        <v>0.61659451659451681</v>
      </c>
    </row>
    <row r="32" spans="1:9" x14ac:dyDescent="0.2">
      <c r="A32" s="70">
        <v>44706</v>
      </c>
      <c r="B32" s="57">
        <v>2352</v>
      </c>
      <c r="C32" s="57">
        <v>3</v>
      </c>
      <c r="D32" s="57" t="s">
        <v>175</v>
      </c>
      <c r="E32" s="57">
        <v>1</v>
      </c>
      <c r="F32" s="57">
        <v>0.78600000000000003</v>
      </c>
      <c r="G32" s="57">
        <v>0.48599999999999999</v>
      </c>
      <c r="H32" s="57" t="s">
        <v>193</v>
      </c>
      <c r="I32" s="33">
        <f t="shared" si="0"/>
        <v>0.61728395061728403</v>
      </c>
    </row>
    <row r="33" spans="1:9" x14ac:dyDescent="0.2">
      <c r="A33" s="70">
        <v>44635</v>
      </c>
      <c r="B33" s="57">
        <v>2093</v>
      </c>
      <c r="C33" s="57">
        <v>1</v>
      </c>
      <c r="D33" s="57" t="s">
        <v>192</v>
      </c>
      <c r="E33" s="57" t="s">
        <v>60</v>
      </c>
      <c r="F33" s="57">
        <v>2.8340000000000001</v>
      </c>
      <c r="G33" s="57">
        <v>1.748</v>
      </c>
      <c r="H33" s="57" t="s">
        <v>194</v>
      </c>
      <c r="I33" s="33">
        <f t="shared" si="0"/>
        <v>0.6212814645308925</v>
      </c>
    </row>
    <row r="34" spans="1:9" x14ac:dyDescent="0.2">
      <c r="A34" s="70">
        <v>44706</v>
      </c>
      <c r="B34" s="57">
        <v>2023</v>
      </c>
      <c r="C34" s="57">
        <v>3</v>
      </c>
      <c r="D34" s="57" t="s">
        <v>192</v>
      </c>
      <c r="E34" s="57">
        <v>1</v>
      </c>
      <c r="F34" s="57">
        <v>1.996</v>
      </c>
      <c r="G34" s="57">
        <v>1.23</v>
      </c>
      <c r="H34" s="57" t="s">
        <v>193</v>
      </c>
      <c r="I34" s="33">
        <f t="shared" si="0"/>
        <v>0.62276422764227646</v>
      </c>
    </row>
    <row r="35" spans="1:9" x14ac:dyDescent="0.2">
      <c r="A35" s="70">
        <v>44662</v>
      </c>
      <c r="B35" s="57">
        <v>2093</v>
      </c>
      <c r="C35" s="57">
        <v>1</v>
      </c>
      <c r="D35" s="57" t="s">
        <v>192</v>
      </c>
      <c r="E35" s="57">
        <v>1</v>
      </c>
      <c r="F35" s="57">
        <v>1.5894999999999999</v>
      </c>
      <c r="G35" s="57">
        <v>0.97899999999999998</v>
      </c>
      <c r="H35" s="57" t="s">
        <v>191</v>
      </c>
      <c r="I35" s="33">
        <f t="shared" si="0"/>
        <v>0.6235955056179775</v>
      </c>
    </row>
    <row r="36" spans="1:9" x14ac:dyDescent="0.2">
      <c r="A36" s="70">
        <v>44706</v>
      </c>
      <c r="B36" s="57">
        <v>2331</v>
      </c>
      <c r="C36" s="57">
        <v>3</v>
      </c>
      <c r="D36" s="57" t="s">
        <v>192</v>
      </c>
      <c r="E36" s="57">
        <v>1</v>
      </c>
      <c r="F36" s="57">
        <v>0.71440000000000003</v>
      </c>
      <c r="G36" s="57">
        <v>0.439</v>
      </c>
      <c r="H36" s="57" t="s">
        <v>193</v>
      </c>
      <c r="I36" s="33">
        <f t="shared" si="0"/>
        <v>0.62733485193621874</v>
      </c>
    </row>
    <row r="37" spans="1:9" x14ac:dyDescent="0.2">
      <c r="A37" s="70">
        <v>44685</v>
      </c>
      <c r="B37" s="57">
        <v>2377</v>
      </c>
      <c r="C37" s="57">
        <v>3</v>
      </c>
      <c r="D37" s="57" t="s">
        <v>192</v>
      </c>
      <c r="E37" s="57">
        <v>1</v>
      </c>
      <c r="F37" s="57">
        <v>1.1489</v>
      </c>
      <c r="G37" s="57">
        <v>0.70579999999999998</v>
      </c>
      <c r="I37" s="33">
        <f t="shared" si="0"/>
        <v>0.62779824312836507</v>
      </c>
    </row>
    <row r="38" spans="1:9" x14ac:dyDescent="0.2">
      <c r="A38" s="70">
        <v>44650</v>
      </c>
      <c r="B38" s="57">
        <v>2352</v>
      </c>
      <c r="C38" s="57">
        <v>1</v>
      </c>
      <c r="D38" s="57" t="s">
        <v>192</v>
      </c>
      <c r="E38" s="57" t="s">
        <v>60</v>
      </c>
      <c r="F38" s="57">
        <v>0.52580000000000005</v>
      </c>
      <c r="G38" s="57">
        <v>0.32300000000000001</v>
      </c>
      <c r="H38" s="57" t="s">
        <v>191</v>
      </c>
      <c r="I38" s="33">
        <f t="shared" si="0"/>
        <v>0.62786377708978336</v>
      </c>
    </row>
    <row r="39" spans="1:9" x14ac:dyDescent="0.2">
      <c r="A39" s="70">
        <v>44704</v>
      </c>
      <c r="B39" s="57">
        <v>2376</v>
      </c>
      <c r="C39" s="57">
        <v>3</v>
      </c>
      <c r="D39" s="57" t="s">
        <v>192</v>
      </c>
      <c r="E39" s="57">
        <v>1</v>
      </c>
      <c r="F39" s="57">
        <v>2.2484999999999999</v>
      </c>
      <c r="G39" s="57">
        <v>1.3779999999999999</v>
      </c>
      <c r="I39" s="33">
        <f t="shared" si="0"/>
        <v>0.6317126269956459</v>
      </c>
    </row>
    <row r="40" spans="1:9" x14ac:dyDescent="0.2">
      <c r="A40" s="70">
        <v>44708</v>
      </c>
      <c r="B40" s="57">
        <v>2089</v>
      </c>
      <c r="C40" s="57">
        <v>1</v>
      </c>
      <c r="D40" s="57" t="s">
        <v>192</v>
      </c>
      <c r="E40" s="57">
        <v>1</v>
      </c>
      <c r="F40" s="57">
        <v>2.8929999999999998</v>
      </c>
      <c r="G40" s="57">
        <v>1.7689999999999999</v>
      </c>
      <c r="H40" s="57" t="s">
        <v>193</v>
      </c>
      <c r="I40" s="33">
        <f t="shared" si="0"/>
        <v>0.6353872244205766</v>
      </c>
    </row>
    <row r="41" spans="1:9" x14ac:dyDescent="0.2">
      <c r="A41" s="70">
        <v>44704</v>
      </c>
      <c r="B41" s="57">
        <v>2354</v>
      </c>
      <c r="C41" s="57">
        <v>3</v>
      </c>
      <c r="D41" s="57" t="s">
        <v>192</v>
      </c>
      <c r="E41" s="57">
        <v>1</v>
      </c>
      <c r="F41" s="57">
        <v>1.9796</v>
      </c>
      <c r="G41" s="57">
        <v>1.2083999999999999</v>
      </c>
      <c r="I41" s="33">
        <f t="shared" si="0"/>
        <v>0.63819927176431657</v>
      </c>
    </row>
    <row r="42" spans="1:9" x14ac:dyDescent="0.2">
      <c r="A42" s="70">
        <v>44685</v>
      </c>
      <c r="B42" s="57">
        <v>2352</v>
      </c>
      <c r="C42" s="57">
        <v>2</v>
      </c>
      <c r="D42" s="57" t="s">
        <v>192</v>
      </c>
      <c r="E42" s="57">
        <v>1</v>
      </c>
      <c r="F42" s="57">
        <v>0.60960000000000003</v>
      </c>
      <c r="G42" s="57">
        <v>0.372</v>
      </c>
      <c r="I42" s="33">
        <f t="shared" si="0"/>
        <v>0.63870967741935492</v>
      </c>
    </row>
    <row r="43" spans="1:9" x14ac:dyDescent="0.2">
      <c r="A43" s="70">
        <v>44685</v>
      </c>
      <c r="B43" s="57">
        <v>2380</v>
      </c>
      <c r="C43" s="57">
        <v>3</v>
      </c>
      <c r="D43" s="57" t="s">
        <v>192</v>
      </c>
      <c r="E43" s="57">
        <v>1</v>
      </c>
      <c r="F43" s="57">
        <v>0.98409999999999997</v>
      </c>
      <c r="G43" s="57">
        <v>0.59950000000000003</v>
      </c>
      <c r="I43" s="33">
        <f t="shared" si="0"/>
        <v>0.64153461217681385</v>
      </c>
    </row>
    <row r="44" spans="1:9" x14ac:dyDescent="0.2">
      <c r="A44" s="70">
        <v>44708</v>
      </c>
      <c r="B44" s="57">
        <v>2004</v>
      </c>
      <c r="C44" s="57">
        <v>1</v>
      </c>
      <c r="D44" s="57" t="s">
        <v>192</v>
      </c>
      <c r="E44" s="57">
        <v>0</v>
      </c>
      <c r="F44" s="57">
        <v>0.77500000000000002</v>
      </c>
      <c r="G44" s="57">
        <v>0.47199999999999998</v>
      </c>
      <c r="H44" s="57" t="s">
        <v>193</v>
      </c>
      <c r="I44" s="33">
        <f t="shared" si="0"/>
        <v>0.64194915254237306</v>
      </c>
    </row>
    <row r="45" spans="1:9" x14ac:dyDescent="0.2">
      <c r="A45" s="70">
        <v>44685</v>
      </c>
      <c r="B45" s="57">
        <v>2331</v>
      </c>
      <c r="C45" s="57">
        <v>1</v>
      </c>
      <c r="D45" s="57" t="s">
        <v>192</v>
      </c>
      <c r="E45" s="57">
        <v>1</v>
      </c>
      <c r="F45" s="57">
        <v>1.9995000000000001</v>
      </c>
      <c r="G45" s="57">
        <v>1.2163999999999999</v>
      </c>
      <c r="I45" s="33">
        <f t="shared" si="0"/>
        <v>0.64378493916474855</v>
      </c>
    </row>
    <row r="46" spans="1:9" x14ac:dyDescent="0.2">
      <c r="A46" s="70">
        <v>44706</v>
      </c>
      <c r="B46" s="57">
        <v>2345</v>
      </c>
      <c r="C46" s="57">
        <v>3</v>
      </c>
      <c r="D46" s="57" t="s">
        <v>192</v>
      </c>
      <c r="E46" s="57">
        <v>1</v>
      </c>
      <c r="F46" s="57">
        <v>0.66769999999999996</v>
      </c>
      <c r="G46" s="57">
        <v>0.40600000000000003</v>
      </c>
      <c r="H46" s="57" t="s">
        <v>193</v>
      </c>
      <c r="I46" s="33">
        <f t="shared" si="0"/>
        <v>0.64458128078817711</v>
      </c>
    </row>
    <row r="47" spans="1:9" x14ac:dyDescent="0.2">
      <c r="A47" s="70">
        <v>44708</v>
      </c>
      <c r="B47" s="57">
        <v>2091</v>
      </c>
      <c r="C47" s="57">
        <v>2</v>
      </c>
      <c r="D47" s="57" t="s">
        <v>192</v>
      </c>
      <c r="E47" s="57">
        <v>1</v>
      </c>
      <c r="F47" s="57">
        <v>0.92410000000000003</v>
      </c>
      <c r="G47" s="57">
        <v>0.56100000000000005</v>
      </c>
      <c r="H47" s="57" t="s">
        <v>193</v>
      </c>
      <c r="I47" s="33">
        <f t="shared" si="0"/>
        <v>0.64723707664884123</v>
      </c>
    </row>
    <row r="48" spans="1:9" x14ac:dyDescent="0.2">
      <c r="A48" s="70">
        <v>44704</v>
      </c>
      <c r="B48" s="57">
        <v>2354</v>
      </c>
      <c r="C48" s="57">
        <v>1</v>
      </c>
      <c r="D48" s="57" t="s">
        <v>192</v>
      </c>
      <c r="E48" s="57">
        <v>1</v>
      </c>
      <c r="F48" s="57">
        <v>1.5656000000000001</v>
      </c>
      <c r="G48" s="57">
        <v>0.95</v>
      </c>
      <c r="I48" s="33">
        <f t="shared" si="0"/>
        <v>0.64800000000000013</v>
      </c>
    </row>
    <row r="49" spans="1:9" x14ac:dyDescent="0.2">
      <c r="A49" s="70">
        <v>44665</v>
      </c>
      <c r="B49" s="57">
        <v>2301</v>
      </c>
      <c r="C49" s="57">
        <v>1</v>
      </c>
      <c r="D49" s="57" t="s">
        <v>175</v>
      </c>
      <c r="E49" s="57">
        <v>1</v>
      </c>
      <c r="F49" s="57">
        <v>1.6850000000000001</v>
      </c>
      <c r="G49" s="57">
        <v>1.0218</v>
      </c>
      <c r="H49" s="57" t="s">
        <v>191</v>
      </c>
      <c r="I49" s="33">
        <f t="shared" si="0"/>
        <v>0.64905069485222155</v>
      </c>
    </row>
    <row r="50" spans="1:9" x14ac:dyDescent="0.2">
      <c r="A50" s="70">
        <v>44685</v>
      </c>
      <c r="B50" s="57">
        <v>2301</v>
      </c>
      <c r="C50" s="57">
        <v>1</v>
      </c>
      <c r="D50" s="57" t="s">
        <v>192</v>
      </c>
      <c r="E50" s="57">
        <v>1</v>
      </c>
      <c r="F50" s="57">
        <v>2.6315</v>
      </c>
      <c r="G50" s="57">
        <v>1.5955999999999999</v>
      </c>
      <c r="I50" s="33">
        <f t="shared" si="0"/>
        <v>0.64922286287290054</v>
      </c>
    </row>
    <row r="51" spans="1:9" x14ac:dyDescent="0.2">
      <c r="A51" s="70">
        <v>44704</v>
      </c>
      <c r="B51" s="57">
        <v>2030</v>
      </c>
      <c r="C51" s="57">
        <v>3</v>
      </c>
      <c r="D51" s="57" t="s">
        <v>192</v>
      </c>
      <c r="E51" s="57">
        <v>1</v>
      </c>
      <c r="F51" s="57">
        <v>2.0398999999999998</v>
      </c>
      <c r="G51" s="57">
        <v>1.236</v>
      </c>
      <c r="I51" s="33">
        <f t="shared" si="0"/>
        <v>0.65040453074433646</v>
      </c>
    </row>
    <row r="52" spans="1:9" x14ac:dyDescent="0.2">
      <c r="A52" s="70">
        <v>44706</v>
      </c>
      <c r="B52" s="57">
        <v>2331</v>
      </c>
      <c r="C52" s="57">
        <v>2</v>
      </c>
      <c r="D52" s="57" t="s">
        <v>192</v>
      </c>
      <c r="E52" s="57">
        <v>1</v>
      </c>
      <c r="F52" s="57">
        <v>1.2565</v>
      </c>
      <c r="G52" s="57">
        <v>0.75900000000000001</v>
      </c>
      <c r="H52" s="57" t="s">
        <v>193</v>
      </c>
      <c r="I52" s="33">
        <f t="shared" si="0"/>
        <v>0.65546772068511194</v>
      </c>
    </row>
    <row r="53" spans="1:9" x14ac:dyDescent="0.2">
      <c r="A53" s="70">
        <v>44706</v>
      </c>
      <c r="B53" s="57">
        <v>2301</v>
      </c>
      <c r="C53" s="57">
        <v>2</v>
      </c>
      <c r="D53" s="57" t="s">
        <v>192</v>
      </c>
      <c r="E53" s="57">
        <v>1</v>
      </c>
      <c r="F53" s="57">
        <v>2.9523000000000001</v>
      </c>
      <c r="G53" s="57">
        <v>1.7829999999999999</v>
      </c>
      <c r="H53" s="57" t="s">
        <v>193</v>
      </c>
      <c r="I53" s="33">
        <f t="shared" si="0"/>
        <v>0.65580482333146395</v>
      </c>
    </row>
    <row r="54" spans="1:9" x14ac:dyDescent="0.2">
      <c r="A54" s="70">
        <v>44706</v>
      </c>
      <c r="B54" s="57">
        <v>2023</v>
      </c>
      <c r="C54" s="57">
        <v>1</v>
      </c>
      <c r="D54" s="57" t="s">
        <v>192</v>
      </c>
      <c r="E54" s="57">
        <v>1</v>
      </c>
      <c r="F54" s="57">
        <v>0.74439999999999995</v>
      </c>
      <c r="G54" s="57">
        <v>0.44900000000000001</v>
      </c>
      <c r="H54" s="57" t="s">
        <v>193</v>
      </c>
      <c r="I54" s="33">
        <f t="shared" si="0"/>
        <v>0.65790645879732723</v>
      </c>
    </row>
    <row r="55" spans="1:9" x14ac:dyDescent="0.2">
      <c r="A55" s="70">
        <v>44635</v>
      </c>
      <c r="B55" s="57">
        <v>2301</v>
      </c>
      <c r="C55" s="57">
        <v>1</v>
      </c>
      <c r="D55" s="57" t="s">
        <v>192</v>
      </c>
      <c r="E55" s="57" t="s">
        <v>60</v>
      </c>
      <c r="F55" s="57">
        <v>3.3359999999999999</v>
      </c>
      <c r="G55" s="57">
        <v>2.012</v>
      </c>
      <c r="H55" s="57" t="s">
        <v>194</v>
      </c>
      <c r="I55" s="33">
        <f t="shared" si="0"/>
        <v>0.65805168986083495</v>
      </c>
    </row>
    <row r="56" spans="1:9" x14ac:dyDescent="0.2">
      <c r="A56" s="70">
        <v>44706</v>
      </c>
      <c r="B56" s="57">
        <v>2032</v>
      </c>
      <c r="C56" s="57">
        <v>2</v>
      </c>
      <c r="D56" s="57" t="s">
        <v>192</v>
      </c>
      <c r="E56" s="57">
        <v>1</v>
      </c>
      <c r="F56" s="57">
        <v>1.3016000000000001</v>
      </c>
      <c r="G56" s="57">
        <v>0.78500000000000003</v>
      </c>
      <c r="H56" s="57" t="s">
        <v>193</v>
      </c>
      <c r="I56" s="33">
        <f t="shared" si="0"/>
        <v>0.65808917197452232</v>
      </c>
    </row>
    <row r="57" spans="1:9" x14ac:dyDescent="0.2">
      <c r="A57" s="70">
        <v>44706</v>
      </c>
      <c r="B57" s="57">
        <v>2345</v>
      </c>
      <c r="C57" s="57">
        <v>2</v>
      </c>
      <c r="D57" s="57" t="s">
        <v>192</v>
      </c>
      <c r="E57" s="57">
        <v>1</v>
      </c>
      <c r="F57" s="57">
        <v>1.5385</v>
      </c>
      <c r="G57" s="57">
        <v>0.9274</v>
      </c>
      <c r="H57" s="57" t="s">
        <v>193</v>
      </c>
      <c r="I57" s="33">
        <f t="shared" si="0"/>
        <v>0.65893896916109551</v>
      </c>
    </row>
    <row r="58" spans="1:9" x14ac:dyDescent="0.2">
      <c r="A58" s="70">
        <v>44685</v>
      </c>
      <c r="B58" s="57">
        <v>2380</v>
      </c>
      <c r="C58" s="57">
        <v>1</v>
      </c>
      <c r="D58" s="57" t="s">
        <v>175</v>
      </c>
      <c r="E58" s="57">
        <v>1</v>
      </c>
      <c r="F58" s="57">
        <v>0.37290000000000001</v>
      </c>
      <c r="G58" s="57">
        <v>0.22470000000000001</v>
      </c>
      <c r="I58" s="33">
        <f t="shared" si="0"/>
        <v>0.65954606141522021</v>
      </c>
    </row>
    <row r="59" spans="1:9" x14ac:dyDescent="0.2">
      <c r="A59" s="70">
        <v>44706</v>
      </c>
      <c r="B59" s="57">
        <v>2345</v>
      </c>
      <c r="C59" s="57">
        <v>1</v>
      </c>
      <c r="D59" s="57" t="s">
        <v>192</v>
      </c>
      <c r="E59" s="57">
        <v>1</v>
      </c>
      <c r="F59" s="57">
        <v>0.72860000000000003</v>
      </c>
      <c r="G59" s="57">
        <v>0.439</v>
      </c>
      <c r="H59" s="57" t="s">
        <v>193</v>
      </c>
      <c r="I59" s="33">
        <f t="shared" si="0"/>
        <v>0.65968109339407754</v>
      </c>
    </row>
    <row r="60" spans="1:9" x14ac:dyDescent="0.2">
      <c r="A60" s="70">
        <v>44665</v>
      </c>
      <c r="B60" s="57">
        <v>2380</v>
      </c>
      <c r="C60" s="57">
        <v>2</v>
      </c>
      <c r="D60" s="57" t="s">
        <v>192</v>
      </c>
      <c r="E60" s="57">
        <v>1</v>
      </c>
      <c r="F60" s="57">
        <v>0.95409999999999995</v>
      </c>
      <c r="G60" s="57">
        <v>0.57469999999999999</v>
      </c>
      <c r="H60" s="57" t="s">
        <v>191</v>
      </c>
      <c r="I60" s="33">
        <f t="shared" si="0"/>
        <v>0.66017052375152252</v>
      </c>
    </row>
    <row r="61" spans="1:9" x14ac:dyDescent="0.2">
      <c r="A61" s="70">
        <v>44665</v>
      </c>
      <c r="B61" s="57">
        <v>2377</v>
      </c>
      <c r="C61" s="57">
        <v>3</v>
      </c>
      <c r="D61" s="57" t="s">
        <v>192</v>
      </c>
      <c r="E61" s="57">
        <v>1</v>
      </c>
      <c r="F61" s="57">
        <v>0.71240000000000003</v>
      </c>
      <c r="G61" s="57">
        <v>0.42680000000000001</v>
      </c>
      <c r="H61" s="57" t="s">
        <v>191</v>
      </c>
      <c r="I61" s="33">
        <f t="shared" si="0"/>
        <v>0.6691658856607311</v>
      </c>
    </row>
    <row r="62" spans="1:9" x14ac:dyDescent="0.2">
      <c r="A62" s="70">
        <v>44708</v>
      </c>
      <c r="B62" s="57">
        <v>2092</v>
      </c>
      <c r="C62" s="57">
        <v>1</v>
      </c>
      <c r="D62" s="57" t="s">
        <v>192</v>
      </c>
      <c r="E62" s="57">
        <v>1</v>
      </c>
      <c r="F62" s="57">
        <v>1.546</v>
      </c>
      <c r="G62" s="57">
        <v>0.92500000000000004</v>
      </c>
      <c r="H62" s="57" t="s">
        <v>193</v>
      </c>
      <c r="I62" s="33">
        <f t="shared" si="0"/>
        <v>0.67135135135135127</v>
      </c>
    </row>
    <row r="63" spans="1:9" x14ac:dyDescent="0.2">
      <c r="A63" s="70">
        <v>44685</v>
      </c>
      <c r="B63" s="57">
        <v>2301</v>
      </c>
      <c r="C63" s="57">
        <v>3</v>
      </c>
      <c r="D63" s="57" t="s">
        <v>192</v>
      </c>
      <c r="E63" s="57">
        <v>1</v>
      </c>
      <c r="F63" s="57">
        <v>2.3647</v>
      </c>
      <c r="G63" s="57">
        <v>1.4142999999999999</v>
      </c>
      <c r="I63" s="33">
        <f t="shared" si="0"/>
        <v>0.67199321218977603</v>
      </c>
    </row>
    <row r="64" spans="1:9" x14ac:dyDescent="0.2">
      <c r="A64" s="70">
        <v>44662</v>
      </c>
      <c r="B64" s="57">
        <v>2093</v>
      </c>
      <c r="C64" s="57">
        <v>2</v>
      </c>
      <c r="D64" s="57" t="s">
        <v>192</v>
      </c>
      <c r="E64" s="57">
        <v>0</v>
      </c>
      <c r="F64" s="57">
        <v>1.0849</v>
      </c>
      <c r="G64" s="57">
        <v>0.64800000000000002</v>
      </c>
      <c r="H64" s="57" t="s">
        <v>191</v>
      </c>
      <c r="I64" s="33">
        <f t="shared" si="0"/>
        <v>0.67422839506172827</v>
      </c>
    </row>
    <row r="65" spans="1:9" x14ac:dyDescent="0.2">
      <c r="A65" s="70">
        <v>44704</v>
      </c>
      <c r="B65" s="57">
        <v>2354</v>
      </c>
      <c r="C65" s="57">
        <v>2</v>
      </c>
      <c r="D65" s="57" t="s">
        <v>192</v>
      </c>
      <c r="E65" s="57">
        <v>1</v>
      </c>
      <c r="F65" s="57">
        <v>1.7053</v>
      </c>
      <c r="G65" s="57">
        <v>1.018</v>
      </c>
      <c r="I65" s="33">
        <f t="shared" si="0"/>
        <v>0.67514734774066798</v>
      </c>
    </row>
    <row r="66" spans="1:9" x14ac:dyDescent="0.2">
      <c r="A66" s="70">
        <v>44685</v>
      </c>
      <c r="B66" s="57">
        <v>2331</v>
      </c>
      <c r="C66" s="57">
        <v>1</v>
      </c>
      <c r="D66" s="57" t="s">
        <v>175</v>
      </c>
      <c r="E66" s="57">
        <v>1</v>
      </c>
      <c r="F66" s="57">
        <v>0.32369999999999999</v>
      </c>
      <c r="G66" s="57">
        <v>0.19320000000000001</v>
      </c>
      <c r="I66" s="33">
        <f t="shared" si="0"/>
        <v>0.67546583850931663</v>
      </c>
    </row>
    <row r="67" spans="1:9" x14ac:dyDescent="0.2">
      <c r="A67" s="70">
        <v>44704</v>
      </c>
      <c r="B67" s="57">
        <v>2377</v>
      </c>
      <c r="C67" s="57">
        <v>3</v>
      </c>
      <c r="D67" s="57" t="s">
        <v>192</v>
      </c>
      <c r="E67" s="57">
        <v>1</v>
      </c>
      <c r="F67" s="57">
        <v>1.0138</v>
      </c>
      <c r="G67" s="57">
        <v>0.60499999999999998</v>
      </c>
      <c r="I67" s="33">
        <f t="shared" si="0"/>
        <v>0.67570247933884309</v>
      </c>
    </row>
    <row r="68" spans="1:9" x14ac:dyDescent="0.2">
      <c r="A68" s="70">
        <v>44706</v>
      </c>
      <c r="B68" s="57">
        <v>2301</v>
      </c>
      <c r="C68" s="57">
        <v>3</v>
      </c>
      <c r="D68" s="57" t="s">
        <v>192</v>
      </c>
      <c r="E68" s="57">
        <v>1</v>
      </c>
      <c r="F68" s="57">
        <v>1.9312</v>
      </c>
      <c r="G68" s="57">
        <v>1.1519999999999999</v>
      </c>
      <c r="H68" s="57" t="s">
        <v>193</v>
      </c>
      <c r="I68" s="33">
        <f t="shared" si="0"/>
        <v>0.67638888888888904</v>
      </c>
    </row>
    <row r="69" spans="1:9" x14ac:dyDescent="0.2">
      <c r="A69" s="70">
        <v>44704</v>
      </c>
      <c r="B69" s="57">
        <v>2377</v>
      </c>
      <c r="C69" s="57">
        <v>2</v>
      </c>
      <c r="D69" s="57" t="s">
        <v>192</v>
      </c>
      <c r="E69" s="57">
        <v>1</v>
      </c>
      <c r="F69" s="57">
        <v>0.45619999999999999</v>
      </c>
      <c r="G69" s="57">
        <v>0.27200000000000002</v>
      </c>
      <c r="I69" s="33">
        <f t="shared" si="0"/>
        <v>0.67720588235294099</v>
      </c>
    </row>
    <row r="70" spans="1:9" x14ac:dyDescent="0.2">
      <c r="A70" s="70">
        <v>44685</v>
      </c>
      <c r="B70" s="57">
        <v>2345</v>
      </c>
      <c r="C70" s="57">
        <v>1</v>
      </c>
      <c r="D70" s="57" t="s">
        <v>192</v>
      </c>
      <c r="E70" s="57">
        <v>1</v>
      </c>
      <c r="F70" s="57">
        <v>0.98640000000000005</v>
      </c>
      <c r="G70" s="57">
        <v>0.58789999999999998</v>
      </c>
      <c r="I70" s="33">
        <f t="shared" si="0"/>
        <v>0.67783636672903569</v>
      </c>
    </row>
    <row r="71" spans="1:9" x14ac:dyDescent="0.2">
      <c r="A71" s="70">
        <v>44650</v>
      </c>
      <c r="B71" s="57">
        <v>2354</v>
      </c>
      <c r="C71" s="57">
        <v>3</v>
      </c>
      <c r="D71" s="57" t="s">
        <v>192</v>
      </c>
      <c r="E71" s="57" t="s">
        <v>60</v>
      </c>
      <c r="F71" s="57">
        <v>1.3947000000000001</v>
      </c>
      <c r="G71" s="57">
        <v>0.83099999999999996</v>
      </c>
      <c r="H71" s="57" t="s">
        <v>191</v>
      </c>
      <c r="I71" s="33">
        <f t="shared" si="0"/>
        <v>0.67833935018050551</v>
      </c>
    </row>
    <row r="72" spans="1:9" x14ac:dyDescent="0.2">
      <c r="A72" s="70">
        <v>44685</v>
      </c>
      <c r="B72" s="57">
        <v>2345</v>
      </c>
      <c r="C72" s="57">
        <v>2</v>
      </c>
      <c r="D72" s="57" t="s">
        <v>192</v>
      </c>
      <c r="E72" s="57">
        <v>1</v>
      </c>
      <c r="F72" s="57">
        <v>1.3682000000000001</v>
      </c>
      <c r="G72" s="57">
        <v>0.81259999999999999</v>
      </c>
      <c r="I72" s="33">
        <f t="shared" si="0"/>
        <v>0.68373123307900574</v>
      </c>
    </row>
    <row r="73" spans="1:9" x14ac:dyDescent="0.2">
      <c r="A73" s="70">
        <v>44685</v>
      </c>
      <c r="B73" s="57">
        <v>2354</v>
      </c>
      <c r="C73" s="57">
        <v>2</v>
      </c>
      <c r="D73" s="57" t="s">
        <v>192</v>
      </c>
      <c r="E73" s="57">
        <v>1</v>
      </c>
      <c r="F73" s="57">
        <v>0.90920000000000001</v>
      </c>
      <c r="G73" s="57">
        <v>0.53969999999999996</v>
      </c>
      <c r="I73" s="33">
        <f t="shared" si="0"/>
        <v>0.68463961460070422</v>
      </c>
    </row>
    <row r="74" spans="1:9" x14ac:dyDescent="0.2">
      <c r="A74" s="70">
        <v>44704</v>
      </c>
      <c r="B74" s="57">
        <v>2376</v>
      </c>
      <c r="C74" s="57">
        <v>2</v>
      </c>
      <c r="D74" s="57" t="s">
        <v>192</v>
      </c>
      <c r="E74" s="57">
        <v>1</v>
      </c>
      <c r="F74" s="57">
        <v>2.2443</v>
      </c>
      <c r="G74" s="57">
        <v>1.331</v>
      </c>
      <c r="I74" s="33">
        <f t="shared" si="0"/>
        <v>0.68617580766341102</v>
      </c>
    </row>
    <row r="75" spans="1:9" x14ac:dyDescent="0.2">
      <c r="A75" s="70">
        <v>44706</v>
      </c>
      <c r="B75" s="57">
        <v>2331</v>
      </c>
      <c r="C75" s="57">
        <v>1</v>
      </c>
      <c r="D75" s="57" t="s">
        <v>192</v>
      </c>
      <c r="E75" s="57">
        <v>1</v>
      </c>
      <c r="F75" s="57">
        <v>1.1028</v>
      </c>
      <c r="G75" s="57">
        <v>0.65400000000000003</v>
      </c>
      <c r="H75" s="57" t="s">
        <v>193</v>
      </c>
      <c r="I75" s="33">
        <f t="shared" si="0"/>
        <v>0.68623853211009167</v>
      </c>
    </row>
    <row r="76" spans="1:9" x14ac:dyDescent="0.2">
      <c r="A76" s="70">
        <v>44690</v>
      </c>
      <c r="B76" s="57">
        <v>2029</v>
      </c>
      <c r="C76" s="57">
        <v>2</v>
      </c>
      <c r="D76" s="57" t="s">
        <v>192</v>
      </c>
      <c r="E76" s="57">
        <v>1</v>
      </c>
      <c r="F76" s="57">
        <v>1.2911999999999999</v>
      </c>
      <c r="G76" s="57">
        <v>0.76380000000000003</v>
      </c>
      <c r="I76" s="33">
        <f t="shared" si="0"/>
        <v>0.69049489395129593</v>
      </c>
    </row>
    <row r="77" spans="1:9" x14ac:dyDescent="0.2">
      <c r="A77" s="70">
        <v>44635</v>
      </c>
      <c r="B77" s="57">
        <v>2331</v>
      </c>
      <c r="C77" s="57">
        <v>1</v>
      </c>
      <c r="D77" s="57" t="s">
        <v>192</v>
      </c>
      <c r="E77" s="57" t="s">
        <v>60</v>
      </c>
      <c r="F77" s="57">
        <v>2.0699999999999998</v>
      </c>
      <c r="G77" s="57">
        <v>1.224</v>
      </c>
      <c r="H77" s="57" t="s">
        <v>194</v>
      </c>
      <c r="I77" s="33">
        <f t="shared" si="0"/>
        <v>0.69117647058823517</v>
      </c>
    </row>
    <row r="78" spans="1:9" x14ac:dyDescent="0.2">
      <c r="A78" s="70">
        <v>44685</v>
      </c>
      <c r="B78" s="57">
        <v>2360</v>
      </c>
      <c r="C78" s="57">
        <v>1</v>
      </c>
      <c r="D78" s="57" t="s">
        <v>175</v>
      </c>
      <c r="E78" s="57">
        <v>0</v>
      </c>
      <c r="F78" s="57">
        <v>5.0099999999999999E-2</v>
      </c>
      <c r="G78" s="57">
        <v>2.9600000000000001E-2</v>
      </c>
      <c r="I78" s="33">
        <f t="shared" si="0"/>
        <v>0.69256756756756743</v>
      </c>
    </row>
    <row r="79" spans="1:9" x14ac:dyDescent="0.2">
      <c r="A79" s="70">
        <v>44662</v>
      </c>
      <c r="B79" s="57">
        <v>2091</v>
      </c>
      <c r="C79" s="57">
        <v>1</v>
      </c>
      <c r="D79" s="57" t="s">
        <v>192</v>
      </c>
      <c r="E79" s="57">
        <v>1</v>
      </c>
      <c r="F79" s="57">
        <v>2.8018999999999998</v>
      </c>
      <c r="G79" s="57">
        <v>1.6554</v>
      </c>
      <c r="H79" s="57" t="s">
        <v>191</v>
      </c>
      <c r="I79" s="33">
        <f t="shared" si="0"/>
        <v>0.69258185332850053</v>
      </c>
    </row>
    <row r="80" spans="1:9" x14ac:dyDescent="0.2">
      <c r="A80" s="70">
        <v>44690</v>
      </c>
      <c r="B80" s="57">
        <v>2093</v>
      </c>
      <c r="C80" s="57">
        <v>1</v>
      </c>
      <c r="D80" s="57" t="s">
        <v>192</v>
      </c>
      <c r="E80" s="57">
        <v>1</v>
      </c>
      <c r="F80" s="57">
        <v>1.6544000000000001</v>
      </c>
      <c r="G80" s="57">
        <v>0.97699999999999998</v>
      </c>
      <c r="I80" s="33">
        <f t="shared" si="0"/>
        <v>0.69334698055271249</v>
      </c>
    </row>
    <row r="81" spans="1:9" x14ac:dyDescent="0.2">
      <c r="A81" s="70">
        <v>44665</v>
      </c>
      <c r="B81" s="57">
        <v>2377</v>
      </c>
      <c r="C81" s="57">
        <v>2</v>
      </c>
      <c r="D81" s="57" t="s">
        <v>192</v>
      </c>
      <c r="E81" s="57">
        <v>1</v>
      </c>
      <c r="F81" s="57">
        <v>1.2629999999999999</v>
      </c>
      <c r="G81" s="57">
        <v>0.74560000000000004</v>
      </c>
      <c r="H81" s="57" t="s">
        <v>191</v>
      </c>
      <c r="I81" s="33">
        <f t="shared" si="0"/>
        <v>0.69393776824034314</v>
      </c>
    </row>
    <row r="82" spans="1:9" x14ac:dyDescent="0.2">
      <c r="A82" s="70">
        <v>44685</v>
      </c>
      <c r="B82" s="57">
        <v>2354</v>
      </c>
      <c r="C82" s="57">
        <v>1</v>
      </c>
      <c r="D82" s="57" t="s">
        <v>192</v>
      </c>
      <c r="E82" s="57">
        <v>1</v>
      </c>
      <c r="F82" s="57">
        <v>1.0381</v>
      </c>
      <c r="G82" s="57">
        <v>0.61250000000000004</v>
      </c>
      <c r="I82" s="33">
        <f t="shared" si="0"/>
        <v>0.69485714285714273</v>
      </c>
    </row>
    <row r="83" spans="1:9" x14ac:dyDescent="0.2">
      <c r="A83" s="70">
        <v>44635</v>
      </c>
      <c r="B83" s="57">
        <v>2089</v>
      </c>
      <c r="C83" s="57">
        <v>1</v>
      </c>
      <c r="D83" s="57" t="s">
        <v>192</v>
      </c>
      <c r="E83" s="57" t="s">
        <v>60</v>
      </c>
      <c r="F83" s="57">
        <v>5.4370000000000003</v>
      </c>
      <c r="G83" s="57">
        <v>3.206</v>
      </c>
      <c r="H83" s="57" t="s">
        <v>194</v>
      </c>
      <c r="I83" s="33">
        <f t="shared" si="0"/>
        <v>0.69588271990018724</v>
      </c>
    </row>
    <row r="84" spans="1:9" x14ac:dyDescent="0.2">
      <c r="A84" s="70">
        <v>44708</v>
      </c>
      <c r="B84" s="57">
        <v>2089</v>
      </c>
      <c r="C84" s="57">
        <v>3</v>
      </c>
      <c r="D84" s="57" t="s">
        <v>192</v>
      </c>
      <c r="E84" s="57">
        <v>1</v>
      </c>
      <c r="F84" s="57">
        <v>0.63600000000000001</v>
      </c>
      <c r="G84" s="57">
        <v>0.375</v>
      </c>
      <c r="H84" s="57" t="s">
        <v>193</v>
      </c>
      <c r="I84" s="33">
        <f t="shared" si="0"/>
        <v>0.69600000000000006</v>
      </c>
    </row>
    <row r="85" spans="1:9" x14ac:dyDescent="0.2">
      <c r="A85" s="70">
        <v>44690</v>
      </c>
      <c r="B85" s="57">
        <v>2092</v>
      </c>
      <c r="C85" s="57">
        <v>2</v>
      </c>
      <c r="D85" s="57" t="s">
        <v>192</v>
      </c>
      <c r="E85" s="57">
        <v>1</v>
      </c>
      <c r="F85" s="57">
        <v>0.61060000000000003</v>
      </c>
      <c r="G85" s="57">
        <v>0.36</v>
      </c>
      <c r="I85" s="33">
        <f t="shared" si="0"/>
        <v>0.69611111111111124</v>
      </c>
    </row>
    <row r="86" spans="1:9" x14ac:dyDescent="0.2">
      <c r="A86" s="70">
        <v>44704</v>
      </c>
      <c r="B86" s="57">
        <v>2029</v>
      </c>
      <c r="C86" s="57">
        <v>2</v>
      </c>
      <c r="D86" s="57" t="s">
        <v>192</v>
      </c>
      <c r="E86" s="57">
        <v>1</v>
      </c>
      <c r="F86" s="57">
        <v>0.19040000000000001</v>
      </c>
      <c r="G86" s="57">
        <v>0.11219999999999999</v>
      </c>
      <c r="I86" s="33">
        <f t="shared" si="0"/>
        <v>0.69696969696969713</v>
      </c>
    </row>
    <row r="87" spans="1:9" x14ac:dyDescent="0.2">
      <c r="A87" s="70">
        <v>44635</v>
      </c>
      <c r="B87" s="57">
        <v>2092</v>
      </c>
      <c r="C87" s="57">
        <v>1</v>
      </c>
      <c r="D87" s="57" t="s">
        <v>192</v>
      </c>
      <c r="E87" s="57" t="s">
        <v>60</v>
      </c>
      <c r="F87" s="57">
        <v>3.4079999999999999</v>
      </c>
      <c r="G87" s="57">
        <v>2.008</v>
      </c>
      <c r="H87" s="57" t="s">
        <v>194</v>
      </c>
      <c r="I87" s="33">
        <f t="shared" si="0"/>
        <v>0.69721115537848599</v>
      </c>
    </row>
    <row r="88" spans="1:9" x14ac:dyDescent="0.2">
      <c r="A88" s="70">
        <v>44704</v>
      </c>
      <c r="B88" s="57">
        <v>2022</v>
      </c>
      <c r="C88" s="57">
        <v>3</v>
      </c>
      <c r="D88" s="57" t="s">
        <v>192</v>
      </c>
      <c r="E88" s="57">
        <v>1</v>
      </c>
      <c r="F88" s="57">
        <v>1.5818000000000001</v>
      </c>
      <c r="G88" s="57">
        <v>0.93100000000000005</v>
      </c>
      <c r="I88" s="33">
        <f t="shared" si="0"/>
        <v>0.69903329752953813</v>
      </c>
    </row>
    <row r="89" spans="1:9" x14ac:dyDescent="0.2">
      <c r="A89" s="70">
        <v>44704</v>
      </c>
      <c r="B89" s="57">
        <v>2377</v>
      </c>
      <c r="C89" s="57">
        <v>1</v>
      </c>
      <c r="D89" s="57" t="s">
        <v>192</v>
      </c>
      <c r="E89" s="57">
        <v>1</v>
      </c>
      <c r="F89" s="57">
        <v>2.956</v>
      </c>
      <c r="G89" s="57">
        <v>1.7390000000000001</v>
      </c>
      <c r="I89" s="33">
        <f t="shared" si="0"/>
        <v>0.69982748706152953</v>
      </c>
    </row>
    <row r="90" spans="1:9" x14ac:dyDescent="0.2">
      <c r="A90" s="70">
        <v>44650</v>
      </c>
      <c r="B90" s="57">
        <v>2331</v>
      </c>
      <c r="C90" s="57">
        <v>1</v>
      </c>
      <c r="D90" s="57" t="s">
        <v>192</v>
      </c>
      <c r="E90" s="57" t="s">
        <v>60</v>
      </c>
      <c r="F90" s="57">
        <v>1.5339</v>
      </c>
      <c r="G90" s="57">
        <v>0.90200000000000002</v>
      </c>
      <c r="H90" s="57" t="s">
        <v>191</v>
      </c>
      <c r="I90" s="33">
        <f t="shared" si="0"/>
        <v>0.70055432372505544</v>
      </c>
    </row>
    <row r="91" spans="1:9" x14ac:dyDescent="0.2">
      <c r="A91" s="70">
        <v>44685</v>
      </c>
      <c r="B91" s="57">
        <v>2377</v>
      </c>
      <c r="C91" s="57">
        <v>1</v>
      </c>
      <c r="D91" s="57" t="s">
        <v>192</v>
      </c>
      <c r="E91" s="57">
        <v>1</v>
      </c>
      <c r="F91" s="57">
        <v>1.9358</v>
      </c>
      <c r="G91" s="57">
        <v>1.1383000000000001</v>
      </c>
      <c r="I91" s="33">
        <f t="shared" si="0"/>
        <v>0.70060616709127632</v>
      </c>
    </row>
    <row r="92" spans="1:9" x14ac:dyDescent="0.2">
      <c r="A92" s="70">
        <v>44665</v>
      </c>
      <c r="B92" s="57">
        <v>2345</v>
      </c>
      <c r="C92" s="57">
        <v>2</v>
      </c>
      <c r="D92" s="57" t="s">
        <v>192</v>
      </c>
      <c r="E92" s="57">
        <v>1</v>
      </c>
      <c r="F92" s="57">
        <v>1.4442999999999999</v>
      </c>
      <c r="G92" s="57">
        <v>0.84719999999999995</v>
      </c>
      <c r="H92" s="57" t="s">
        <v>191</v>
      </c>
      <c r="I92" s="33">
        <f t="shared" si="0"/>
        <v>0.70479225684608116</v>
      </c>
    </row>
    <row r="93" spans="1:9" x14ac:dyDescent="0.2">
      <c r="A93" s="70">
        <v>44690</v>
      </c>
      <c r="B93" s="57">
        <v>2092</v>
      </c>
      <c r="C93" s="57">
        <v>1</v>
      </c>
      <c r="D93" s="57" t="s">
        <v>192</v>
      </c>
      <c r="E93" s="57">
        <v>1</v>
      </c>
      <c r="F93" s="57">
        <v>0.64119999999999999</v>
      </c>
      <c r="G93" s="57">
        <v>0.376</v>
      </c>
      <c r="I93" s="33">
        <f t="shared" si="0"/>
        <v>0.7053191489361702</v>
      </c>
    </row>
    <row r="94" spans="1:9" x14ac:dyDescent="0.2">
      <c r="A94" s="70">
        <v>44685</v>
      </c>
      <c r="B94" s="57">
        <v>2352</v>
      </c>
      <c r="C94" s="57">
        <v>3</v>
      </c>
      <c r="D94" s="57" t="s">
        <v>175</v>
      </c>
      <c r="E94" s="57">
        <v>0</v>
      </c>
      <c r="F94" s="57">
        <v>9.9900000000000003E-2</v>
      </c>
      <c r="G94" s="57">
        <v>5.8500000000000003E-2</v>
      </c>
      <c r="I94" s="33">
        <f t="shared" si="0"/>
        <v>0.70769230769230762</v>
      </c>
    </row>
    <row r="95" spans="1:9" x14ac:dyDescent="0.2">
      <c r="A95" s="70">
        <v>44650</v>
      </c>
      <c r="B95" s="57">
        <v>2331</v>
      </c>
      <c r="C95" s="57">
        <v>2</v>
      </c>
      <c r="D95" s="57" t="s">
        <v>192</v>
      </c>
      <c r="E95" s="57" t="s">
        <v>60</v>
      </c>
      <c r="F95" s="57">
        <v>2.9236</v>
      </c>
      <c r="G95" s="57">
        <v>1.712</v>
      </c>
      <c r="H95" s="57" t="s">
        <v>191</v>
      </c>
      <c r="I95" s="33">
        <f t="shared" si="0"/>
        <v>0.70771028037383177</v>
      </c>
    </row>
    <row r="96" spans="1:9" x14ac:dyDescent="0.2">
      <c r="A96" s="70">
        <v>44708</v>
      </c>
      <c r="B96" s="57">
        <v>2093</v>
      </c>
      <c r="C96" s="57">
        <v>3</v>
      </c>
      <c r="D96" s="57" t="s">
        <v>192</v>
      </c>
      <c r="E96" s="57">
        <v>0</v>
      </c>
      <c r="F96" s="57">
        <v>1.218</v>
      </c>
      <c r="G96" s="57">
        <v>0.71299999999999997</v>
      </c>
      <c r="H96" s="57" t="s">
        <v>193</v>
      </c>
      <c r="I96" s="33">
        <f t="shared" si="0"/>
        <v>0.70827489481065919</v>
      </c>
    </row>
    <row r="97" spans="1:9" x14ac:dyDescent="0.2">
      <c r="A97" s="70">
        <v>44704</v>
      </c>
      <c r="B97" s="57">
        <v>2083</v>
      </c>
      <c r="C97" s="57">
        <v>3</v>
      </c>
      <c r="D97" s="57" t="s">
        <v>175</v>
      </c>
      <c r="E97" s="57">
        <v>1</v>
      </c>
      <c r="F97" s="57">
        <v>0.64949999999999997</v>
      </c>
      <c r="G97" s="57">
        <v>0.38</v>
      </c>
      <c r="I97" s="33">
        <f t="shared" si="0"/>
        <v>0.7092105263157894</v>
      </c>
    </row>
    <row r="98" spans="1:9" x14ac:dyDescent="0.2">
      <c r="A98" s="70">
        <v>44690</v>
      </c>
      <c r="B98" s="57">
        <v>2093</v>
      </c>
      <c r="C98" s="57">
        <v>3</v>
      </c>
      <c r="D98" s="57" t="s">
        <v>192</v>
      </c>
      <c r="E98" s="57">
        <v>1</v>
      </c>
      <c r="F98" s="57">
        <v>1.5782</v>
      </c>
      <c r="G98" s="57">
        <v>0.92330000000000001</v>
      </c>
      <c r="I98" s="33">
        <f t="shared" si="0"/>
        <v>0.70930358496696633</v>
      </c>
    </row>
    <row r="99" spans="1:9" x14ac:dyDescent="0.2">
      <c r="A99" s="70">
        <v>44650</v>
      </c>
      <c r="B99" s="57">
        <v>2352</v>
      </c>
      <c r="C99" s="57">
        <v>2</v>
      </c>
      <c r="D99" s="57" t="s">
        <v>175</v>
      </c>
      <c r="E99" s="57" t="s">
        <v>60</v>
      </c>
      <c r="F99" s="57">
        <v>0.46189999999999998</v>
      </c>
      <c r="G99" s="57">
        <v>0.27</v>
      </c>
      <c r="H99" s="57" t="s">
        <v>191</v>
      </c>
      <c r="I99" s="33">
        <f t="shared" si="0"/>
        <v>0.71074074074074056</v>
      </c>
    </row>
    <row r="100" spans="1:9" x14ac:dyDescent="0.2">
      <c r="A100" s="70">
        <v>44706</v>
      </c>
      <c r="B100" s="57">
        <v>2352</v>
      </c>
      <c r="C100" s="57">
        <v>1</v>
      </c>
      <c r="D100" s="57" t="s">
        <v>175</v>
      </c>
      <c r="E100" s="57">
        <v>1</v>
      </c>
      <c r="F100" s="57">
        <v>0.10009999999999999</v>
      </c>
      <c r="G100" s="57">
        <v>5.8500000000000003E-2</v>
      </c>
      <c r="H100" s="57" t="s">
        <v>193</v>
      </c>
      <c r="I100" s="33">
        <f t="shared" si="0"/>
        <v>0.71111111111111092</v>
      </c>
    </row>
    <row r="101" spans="1:9" x14ac:dyDescent="0.2">
      <c r="A101" s="70">
        <v>44650</v>
      </c>
      <c r="B101" s="57">
        <v>2354</v>
      </c>
      <c r="C101" s="57">
        <v>1</v>
      </c>
      <c r="D101" s="57" t="s">
        <v>192</v>
      </c>
      <c r="E101" s="57" t="s">
        <v>60</v>
      </c>
      <c r="F101" s="57">
        <v>2.6446000000000001</v>
      </c>
      <c r="G101" s="57">
        <v>1.5449999999999999</v>
      </c>
      <c r="H101" s="57" t="s">
        <v>191</v>
      </c>
      <c r="I101" s="33">
        <f t="shared" si="0"/>
        <v>0.71171521035598717</v>
      </c>
    </row>
    <row r="102" spans="1:9" x14ac:dyDescent="0.2">
      <c r="A102" s="70">
        <v>44685</v>
      </c>
      <c r="B102" s="57">
        <v>2301</v>
      </c>
      <c r="C102" s="57">
        <v>2</v>
      </c>
      <c r="D102" s="57" t="s">
        <v>192</v>
      </c>
      <c r="E102" s="57">
        <v>1</v>
      </c>
      <c r="F102" s="57">
        <v>1.6757</v>
      </c>
      <c r="G102" s="57">
        <v>0.97840000000000005</v>
      </c>
      <c r="I102" s="33">
        <f t="shared" si="0"/>
        <v>0.71269419460343408</v>
      </c>
    </row>
    <row r="103" spans="1:9" x14ac:dyDescent="0.2">
      <c r="A103" s="70">
        <v>44650</v>
      </c>
      <c r="B103" s="57">
        <v>2376</v>
      </c>
      <c r="C103" s="57">
        <v>2</v>
      </c>
      <c r="D103" s="57" t="s">
        <v>192</v>
      </c>
      <c r="E103" s="57" t="s">
        <v>60</v>
      </c>
      <c r="F103" s="57">
        <v>0.61539999999999995</v>
      </c>
      <c r="G103" s="57">
        <v>0.35899999999999999</v>
      </c>
      <c r="H103" s="57" t="s">
        <v>191</v>
      </c>
      <c r="I103" s="33">
        <f t="shared" si="0"/>
        <v>0.71420612813370465</v>
      </c>
    </row>
    <row r="104" spans="1:9" x14ac:dyDescent="0.2">
      <c r="A104" s="70">
        <v>44704</v>
      </c>
      <c r="B104" s="57">
        <v>2376</v>
      </c>
      <c r="C104" s="57">
        <v>1</v>
      </c>
      <c r="D104" s="57" t="s">
        <v>192</v>
      </c>
      <c r="E104" s="57">
        <v>1</v>
      </c>
      <c r="F104" s="57">
        <v>0.75580000000000003</v>
      </c>
      <c r="G104" s="57">
        <v>0.44</v>
      </c>
      <c r="I104" s="33">
        <f t="shared" si="0"/>
        <v>0.71772727272727277</v>
      </c>
    </row>
    <row r="105" spans="1:9" x14ac:dyDescent="0.2">
      <c r="A105" s="70">
        <v>44706</v>
      </c>
      <c r="B105" s="57">
        <v>2301</v>
      </c>
      <c r="C105" s="57">
        <v>1</v>
      </c>
      <c r="D105" s="57" t="s">
        <v>192</v>
      </c>
      <c r="E105" s="57">
        <v>1</v>
      </c>
      <c r="F105" s="57">
        <v>1.3279000000000001</v>
      </c>
      <c r="G105" s="57">
        <v>0.77300000000000002</v>
      </c>
      <c r="H105" s="57" t="s">
        <v>193</v>
      </c>
      <c r="I105" s="33">
        <f t="shared" si="0"/>
        <v>0.71785252263906862</v>
      </c>
    </row>
    <row r="106" spans="1:9" x14ac:dyDescent="0.2">
      <c r="A106" s="70">
        <v>44663</v>
      </c>
      <c r="B106" s="57">
        <v>2331</v>
      </c>
      <c r="C106" s="57">
        <v>2</v>
      </c>
      <c r="D106" s="57" t="s">
        <v>192</v>
      </c>
      <c r="E106" s="57">
        <v>1</v>
      </c>
      <c r="F106" s="57">
        <v>0.94199999999999995</v>
      </c>
      <c r="G106" s="57">
        <v>0.54800000000000004</v>
      </c>
      <c r="H106" s="57" t="s">
        <v>195</v>
      </c>
      <c r="I106" s="33">
        <f t="shared" si="0"/>
        <v>0.71897810218978075</v>
      </c>
    </row>
    <row r="107" spans="1:9" x14ac:dyDescent="0.2">
      <c r="A107" s="70">
        <v>44706</v>
      </c>
      <c r="B107" s="57">
        <v>2352</v>
      </c>
      <c r="C107" s="57">
        <v>2</v>
      </c>
      <c r="D107" s="57" t="s">
        <v>175</v>
      </c>
      <c r="E107" s="57">
        <v>1</v>
      </c>
      <c r="F107" s="57">
        <v>0.17030000000000001</v>
      </c>
      <c r="G107" s="57">
        <v>9.9000000000000005E-2</v>
      </c>
      <c r="H107" s="57" t="s">
        <v>193</v>
      </c>
      <c r="I107" s="33">
        <f t="shared" si="0"/>
        <v>0.72020202020202018</v>
      </c>
    </row>
    <row r="108" spans="1:9" x14ac:dyDescent="0.2">
      <c r="A108" s="70">
        <v>44650</v>
      </c>
      <c r="B108" s="57">
        <v>2377</v>
      </c>
      <c r="C108" s="57">
        <v>2</v>
      </c>
      <c r="D108" s="57" t="s">
        <v>192</v>
      </c>
      <c r="E108" s="57" t="s">
        <v>60</v>
      </c>
      <c r="F108" s="57">
        <v>0.67559999999999998</v>
      </c>
      <c r="G108" s="57">
        <v>0.39200000000000002</v>
      </c>
      <c r="H108" s="57" t="s">
        <v>191</v>
      </c>
      <c r="I108" s="33">
        <f t="shared" si="0"/>
        <v>0.72346938775510194</v>
      </c>
    </row>
    <row r="109" spans="1:9" x14ac:dyDescent="0.2">
      <c r="A109" s="70">
        <v>44665</v>
      </c>
      <c r="B109" s="57">
        <v>2345</v>
      </c>
      <c r="C109" s="57">
        <v>1</v>
      </c>
      <c r="D109" s="57" t="s">
        <v>192</v>
      </c>
      <c r="E109" s="57">
        <v>0</v>
      </c>
      <c r="F109" s="57">
        <v>1.0044</v>
      </c>
      <c r="G109" s="57">
        <v>0.58220000000000005</v>
      </c>
      <c r="H109" s="57" t="s">
        <v>191</v>
      </c>
      <c r="I109" s="33">
        <f t="shared" si="0"/>
        <v>0.72518035039505302</v>
      </c>
    </row>
    <row r="110" spans="1:9" x14ac:dyDescent="0.2">
      <c r="A110" s="70">
        <v>44650</v>
      </c>
      <c r="B110" s="57">
        <v>2380</v>
      </c>
      <c r="C110" s="57">
        <v>1</v>
      </c>
      <c r="D110" s="57" t="s">
        <v>192</v>
      </c>
      <c r="E110" s="57" t="s">
        <v>60</v>
      </c>
      <c r="F110" s="57">
        <v>0.74209999999999998</v>
      </c>
      <c r="G110" s="57">
        <v>0.43</v>
      </c>
      <c r="H110" s="57" t="s">
        <v>191</v>
      </c>
      <c r="I110" s="33">
        <f t="shared" si="0"/>
        <v>0.72581395348837208</v>
      </c>
    </row>
    <row r="111" spans="1:9" x14ac:dyDescent="0.2">
      <c r="A111" s="70">
        <v>44704</v>
      </c>
      <c r="B111" s="57">
        <v>2029</v>
      </c>
      <c r="C111" s="57">
        <v>1</v>
      </c>
      <c r="D111" s="57" t="s">
        <v>192</v>
      </c>
      <c r="E111" s="57">
        <v>1</v>
      </c>
      <c r="F111" s="57">
        <v>0.4022</v>
      </c>
      <c r="G111" s="57">
        <v>0.23300000000000001</v>
      </c>
      <c r="I111" s="33">
        <f t="shared" si="0"/>
        <v>0.72618025751072957</v>
      </c>
    </row>
    <row r="112" spans="1:9" x14ac:dyDescent="0.2">
      <c r="A112" s="70">
        <v>44650</v>
      </c>
      <c r="B112" s="57">
        <v>2380</v>
      </c>
      <c r="C112" s="57">
        <v>2</v>
      </c>
      <c r="D112" s="57" t="s">
        <v>192</v>
      </c>
      <c r="E112" s="57" t="s">
        <v>60</v>
      </c>
      <c r="F112" s="57">
        <v>2.6938</v>
      </c>
      <c r="G112" s="57">
        <v>1.56</v>
      </c>
      <c r="H112" s="57" t="s">
        <v>191</v>
      </c>
      <c r="I112" s="33">
        <f t="shared" si="0"/>
        <v>0.72679487179487168</v>
      </c>
    </row>
    <row r="113" spans="1:9" x14ac:dyDescent="0.2">
      <c r="A113" s="70">
        <v>44650</v>
      </c>
      <c r="B113" s="57">
        <v>2376</v>
      </c>
      <c r="C113" s="57">
        <v>1</v>
      </c>
      <c r="D113" s="57" t="s">
        <v>192</v>
      </c>
      <c r="E113" s="57" t="s">
        <v>60</v>
      </c>
      <c r="F113" s="57">
        <v>3.3447</v>
      </c>
      <c r="G113" s="57">
        <v>1.9330000000000001</v>
      </c>
      <c r="H113" s="57" t="s">
        <v>191</v>
      </c>
      <c r="I113" s="33">
        <f t="shared" si="0"/>
        <v>0.73031557165028449</v>
      </c>
    </row>
    <row r="114" spans="1:9" x14ac:dyDescent="0.2">
      <c r="A114" s="70">
        <v>44690</v>
      </c>
      <c r="B114" s="57">
        <v>2028</v>
      </c>
      <c r="C114" s="57">
        <v>1</v>
      </c>
      <c r="D114" s="57" t="s">
        <v>192</v>
      </c>
      <c r="E114" s="57">
        <v>0</v>
      </c>
      <c r="F114" s="57">
        <v>1.2822</v>
      </c>
      <c r="G114" s="57">
        <v>0.74099999999999999</v>
      </c>
      <c r="I114" s="33">
        <f t="shared" si="0"/>
        <v>0.7303643724696357</v>
      </c>
    </row>
    <row r="115" spans="1:9" x14ac:dyDescent="0.2">
      <c r="A115" s="70">
        <v>44663</v>
      </c>
      <c r="B115" s="57">
        <v>2331</v>
      </c>
      <c r="C115" s="57">
        <v>1</v>
      </c>
      <c r="D115" s="57" t="s">
        <v>192</v>
      </c>
      <c r="E115" s="57">
        <v>1</v>
      </c>
      <c r="F115" s="57">
        <v>0.47099999999999997</v>
      </c>
      <c r="G115" s="57">
        <v>0.27200000000000002</v>
      </c>
      <c r="H115" s="57" t="s">
        <v>195</v>
      </c>
      <c r="I115" s="33">
        <f t="shared" si="0"/>
        <v>0.73161764705882326</v>
      </c>
    </row>
    <row r="116" spans="1:9" x14ac:dyDescent="0.2">
      <c r="A116" s="70">
        <v>44635</v>
      </c>
      <c r="B116" s="57">
        <v>2345</v>
      </c>
      <c r="C116" s="57">
        <v>1</v>
      </c>
      <c r="D116" s="57" t="s">
        <v>192</v>
      </c>
      <c r="E116" s="57" t="s">
        <v>60</v>
      </c>
      <c r="F116" s="57">
        <v>2.032</v>
      </c>
      <c r="G116" s="57">
        <v>1.173</v>
      </c>
      <c r="H116" s="57" t="s">
        <v>194</v>
      </c>
      <c r="I116" s="33">
        <f t="shared" si="0"/>
        <v>0.73231031543051994</v>
      </c>
    </row>
    <row r="117" spans="1:9" x14ac:dyDescent="0.2">
      <c r="A117" s="70">
        <v>44685</v>
      </c>
      <c r="B117" s="57">
        <v>2331</v>
      </c>
      <c r="C117" s="57">
        <v>3</v>
      </c>
      <c r="D117" s="57" t="s">
        <v>175</v>
      </c>
      <c r="E117" s="57">
        <v>1</v>
      </c>
      <c r="F117" s="57">
        <v>0.25679999999999997</v>
      </c>
      <c r="G117" s="57">
        <v>0.1482</v>
      </c>
      <c r="I117" s="33">
        <f t="shared" si="0"/>
        <v>0.73279352226720629</v>
      </c>
    </row>
    <row r="118" spans="1:9" x14ac:dyDescent="0.2">
      <c r="A118" s="70">
        <v>44690</v>
      </c>
      <c r="B118" s="57">
        <v>2093</v>
      </c>
      <c r="C118" s="57">
        <v>2</v>
      </c>
      <c r="D118" s="57" t="s">
        <v>192</v>
      </c>
      <c r="E118" s="57">
        <v>1</v>
      </c>
      <c r="F118" s="57">
        <v>0.98099999999999998</v>
      </c>
      <c r="G118" s="57">
        <v>0.56569999999999998</v>
      </c>
      <c r="I118" s="33">
        <f t="shared" si="0"/>
        <v>0.73413470037122153</v>
      </c>
    </row>
    <row r="119" spans="1:9" x14ac:dyDescent="0.2">
      <c r="A119" s="70">
        <v>44685</v>
      </c>
      <c r="B119" s="57">
        <v>2380</v>
      </c>
      <c r="C119" s="57">
        <v>2</v>
      </c>
      <c r="D119" s="57" t="s">
        <v>175</v>
      </c>
      <c r="E119" s="57">
        <v>1</v>
      </c>
      <c r="F119" s="57">
        <v>0.47470000000000001</v>
      </c>
      <c r="G119" s="57">
        <v>0.27339999999999998</v>
      </c>
      <c r="I119" s="33">
        <f t="shared" si="0"/>
        <v>0.736283833211412</v>
      </c>
    </row>
    <row r="120" spans="1:9" x14ac:dyDescent="0.2">
      <c r="A120" s="70">
        <v>44650</v>
      </c>
      <c r="B120" s="57">
        <v>2354</v>
      </c>
      <c r="C120" s="57">
        <v>2</v>
      </c>
      <c r="D120" s="57" t="s">
        <v>192</v>
      </c>
      <c r="E120" s="57" t="s">
        <v>60</v>
      </c>
      <c r="F120" s="57">
        <v>3.0135000000000001</v>
      </c>
      <c r="G120" s="57">
        <v>1.7350000000000001</v>
      </c>
      <c r="H120" s="57" t="s">
        <v>191</v>
      </c>
      <c r="I120" s="33">
        <f t="shared" si="0"/>
        <v>0.7368876080691642</v>
      </c>
    </row>
    <row r="121" spans="1:9" x14ac:dyDescent="0.2">
      <c r="A121" s="70">
        <v>44685</v>
      </c>
      <c r="B121" s="57">
        <v>2354</v>
      </c>
      <c r="C121" s="57">
        <v>3</v>
      </c>
      <c r="D121" s="57" t="s">
        <v>192</v>
      </c>
      <c r="E121" s="57">
        <v>1</v>
      </c>
      <c r="F121" s="57">
        <v>0.43240000000000001</v>
      </c>
      <c r="G121" s="57">
        <v>0.24879999999999999</v>
      </c>
      <c r="I121" s="33">
        <f t="shared" si="0"/>
        <v>0.73794212218649524</v>
      </c>
    </row>
    <row r="122" spans="1:9" x14ac:dyDescent="0.2">
      <c r="A122" s="70">
        <v>44708</v>
      </c>
      <c r="B122" s="57">
        <v>2006</v>
      </c>
      <c r="C122" s="57">
        <v>3</v>
      </c>
      <c r="D122" s="57" t="s">
        <v>192</v>
      </c>
      <c r="E122" s="57">
        <v>0</v>
      </c>
      <c r="F122" s="57">
        <v>0.88670000000000004</v>
      </c>
      <c r="G122" s="57">
        <v>0.51</v>
      </c>
      <c r="H122" s="57" t="s">
        <v>193</v>
      </c>
      <c r="I122" s="33">
        <f t="shared" si="0"/>
        <v>0.73862745098039218</v>
      </c>
    </row>
    <row r="123" spans="1:9" x14ac:dyDescent="0.2">
      <c r="A123" s="70">
        <v>44706</v>
      </c>
      <c r="B123" s="57">
        <v>2372</v>
      </c>
      <c r="C123" s="57">
        <v>2</v>
      </c>
      <c r="D123" s="57" t="s">
        <v>175</v>
      </c>
      <c r="E123" s="57">
        <v>1</v>
      </c>
      <c r="F123" s="57">
        <v>0.21920000000000001</v>
      </c>
      <c r="G123" s="57">
        <v>0.126</v>
      </c>
      <c r="H123" s="57" t="s">
        <v>193</v>
      </c>
      <c r="I123" s="33">
        <f t="shared" si="0"/>
        <v>0.73968253968253972</v>
      </c>
    </row>
    <row r="124" spans="1:9" x14ac:dyDescent="0.2">
      <c r="A124" s="70">
        <v>44650</v>
      </c>
      <c r="B124" s="57">
        <v>2380</v>
      </c>
      <c r="C124" s="57">
        <v>3</v>
      </c>
      <c r="D124" s="57" t="s">
        <v>192</v>
      </c>
      <c r="E124" s="57" t="s">
        <v>60</v>
      </c>
      <c r="F124" s="57">
        <v>2.1783000000000001</v>
      </c>
      <c r="G124" s="57">
        <v>1.252</v>
      </c>
      <c r="H124" s="57" t="s">
        <v>191</v>
      </c>
      <c r="I124" s="33">
        <f t="shared" si="0"/>
        <v>0.739856230031949</v>
      </c>
    </row>
    <row r="125" spans="1:9" x14ac:dyDescent="0.2">
      <c r="A125" s="70">
        <v>44650</v>
      </c>
      <c r="B125" s="57">
        <v>2377</v>
      </c>
      <c r="C125" s="57">
        <v>3</v>
      </c>
      <c r="D125" s="57" t="s">
        <v>192</v>
      </c>
      <c r="E125" s="57" t="s">
        <v>60</v>
      </c>
      <c r="F125" s="57">
        <v>1.7253000000000001</v>
      </c>
      <c r="G125" s="57">
        <v>0.99099999999999999</v>
      </c>
      <c r="H125" s="57" t="s">
        <v>191</v>
      </c>
      <c r="I125" s="33">
        <f t="shared" si="0"/>
        <v>0.74096871846619583</v>
      </c>
    </row>
    <row r="126" spans="1:9" x14ac:dyDescent="0.2">
      <c r="A126" s="70">
        <v>44685</v>
      </c>
      <c r="B126" s="57">
        <v>2380</v>
      </c>
      <c r="C126" s="57">
        <v>3</v>
      </c>
      <c r="D126" s="57" t="s">
        <v>175</v>
      </c>
      <c r="E126" s="57">
        <v>1</v>
      </c>
      <c r="F126" s="57">
        <v>0.22109999999999999</v>
      </c>
      <c r="G126" s="57">
        <v>0.1268</v>
      </c>
      <c r="I126" s="33">
        <f t="shared" si="0"/>
        <v>0.7436908517350157</v>
      </c>
    </row>
    <row r="127" spans="1:9" x14ac:dyDescent="0.2">
      <c r="A127" s="70">
        <v>44708</v>
      </c>
      <c r="B127" s="57">
        <v>2091</v>
      </c>
      <c r="C127" s="57">
        <v>1</v>
      </c>
      <c r="D127" s="57" t="s">
        <v>192</v>
      </c>
      <c r="E127" s="57">
        <v>0</v>
      </c>
      <c r="F127" s="57">
        <v>1.5903</v>
      </c>
      <c r="G127" s="57">
        <v>0.91200000000000003</v>
      </c>
      <c r="H127" s="57" t="s">
        <v>193</v>
      </c>
      <c r="I127" s="33">
        <f t="shared" si="0"/>
        <v>0.74375000000000002</v>
      </c>
    </row>
    <row r="128" spans="1:9" x14ac:dyDescent="0.2">
      <c r="A128" s="70">
        <v>44704</v>
      </c>
      <c r="B128" s="57">
        <v>2029</v>
      </c>
      <c r="C128" s="57">
        <v>3</v>
      </c>
      <c r="D128" s="57" t="s">
        <v>192</v>
      </c>
      <c r="E128" s="57">
        <v>1</v>
      </c>
      <c r="F128" s="57">
        <v>0.79879999999999995</v>
      </c>
      <c r="G128" s="57">
        <v>0.45800000000000002</v>
      </c>
      <c r="I128" s="33">
        <f t="shared" si="0"/>
        <v>0.74410480349344965</v>
      </c>
    </row>
    <row r="129" spans="1:9" x14ac:dyDescent="0.2">
      <c r="A129" s="70">
        <v>44704</v>
      </c>
      <c r="B129" s="57">
        <v>2022</v>
      </c>
      <c r="C129" s="57">
        <v>2</v>
      </c>
      <c r="D129" s="57" t="s">
        <v>192</v>
      </c>
      <c r="E129" s="57">
        <v>1</v>
      </c>
      <c r="F129" s="57">
        <v>1.3194999999999999</v>
      </c>
      <c r="G129" s="57">
        <v>0.75600000000000001</v>
      </c>
      <c r="I129" s="33">
        <f t="shared" si="0"/>
        <v>0.74537037037037024</v>
      </c>
    </row>
    <row r="130" spans="1:9" x14ac:dyDescent="0.2">
      <c r="A130" s="70">
        <v>44685</v>
      </c>
      <c r="B130" s="57">
        <v>2345</v>
      </c>
      <c r="C130" s="57">
        <v>3</v>
      </c>
      <c r="D130" s="57" t="s">
        <v>175</v>
      </c>
      <c r="E130" s="57">
        <v>1</v>
      </c>
      <c r="F130" s="57">
        <v>0.1953</v>
      </c>
      <c r="G130" s="57">
        <v>0.1118</v>
      </c>
      <c r="I130" s="33">
        <f t="shared" si="0"/>
        <v>0.7468694096601074</v>
      </c>
    </row>
    <row r="131" spans="1:9" x14ac:dyDescent="0.2">
      <c r="A131" s="70">
        <v>44663</v>
      </c>
      <c r="B131" s="57">
        <v>2354</v>
      </c>
      <c r="C131" s="57">
        <v>1</v>
      </c>
      <c r="D131" s="57" t="s">
        <v>192</v>
      </c>
      <c r="E131" s="57">
        <v>1</v>
      </c>
      <c r="F131" s="57">
        <v>1.115</v>
      </c>
      <c r="G131" s="57">
        <v>0.63800000000000001</v>
      </c>
      <c r="H131" s="57" t="s">
        <v>195</v>
      </c>
      <c r="I131" s="33">
        <f t="shared" si="0"/>
        <v>0.74764890282131657</v>
      </c>
    </row>
    <row r="132" spans="1:9" x14ac:dyDescent="0.2">
      <c r="A132" s="70">
        <v>44708</v>
      </c>
      <c r="B132" s="57">
        <v>2093</v>
      </c>
      <c r="C132" s="57">
        <v>1</v>
      </c>
      <c r="D132" s="57" t="s">
        <v>175</v>
      </c>
      <c r="E132" s="57">
        <v>1</v>
      </c>
      <c r="F132" s="57">
        <v>6.4699999999999994E-2</v>
      </c>
      <c r="G132" s="57">
        <v>3.6999999999999998E-2</v>
      </c>
      <c r="H132" s="57" t="s">
        <v>193</v>
      </c>
      <c r="I132" s="33">
        <f t="shared" si="0"/>
        <v>0.74864864864864855</v>
      </c>
    </row>
    <row r="133" spans="1:9" x14ac:dyDescent="0.2">
      <c r="A133" s="70">
        <v>44708</v>
      </c>
      <c r="B133" s="57">
        <v>2006</v>
      </c>
      <c r="C133" s="57">
        <v>3</v>
      </c>
      <c r="D133" s="57" t="s">
        <v>175</v>
      </c>
      <c r="E133" s="57">
        <v>0</v>
      </c>
      <c r="F133" s="57">
        <v>0.13819999999999999</v>
      </c>
      <c r="G133" s="57">
        <v>7.9000000000000001E-2</v>
      </c>
      <c r="H133" s="57" t="s">
        <v>193</v>
      </c>
      <c r="I133" s="33">
        <f t="shared" si="0"/>
        <v>0.74936708860759482</v>
      </c>
    </row>
    <row r="134" spans="1:9" x14ac:dyDescent="0.2">
      <c r="A134" s="70">
        <v>44708</v>
      </c>
      <c r="B134" s="57">
        <v>2092</v>
      </c>
      <c r="C134" s="57">
        <v>2</v>
      </c>
      <c r="D134" s="57" t="s">
        <v>192</v>
      </c>
      <c r="E134" s="57">
        <v>1</v>
      </c>
      <c r="F134" s="57">
        <v>0.59499999999999997</v>
      </c>
      <c r="G134" s="57">
        <v>0.34</v>
      </c>
      <c r="H134" s="57" t="s">
        <v>193</v>
      </c>
      <c r="I134" s="33">
        <f t="shared" si="0"/>
        <v>0.74999999999999978</v>
      </c>
    </row>
    <row r="135" spans="1:9" x14ac:dyDescent="0.2">
      <c r="A135" s="70">
        <v>44704</v>
      </c>
      <c r="B135" s="57">
        <v>2029</v>
      </c>
      <c r="C135" s="57">
        <v>1</v>
      </c>
      <c r="D135" s="57" t="s">
        <v>192</v>
      </c>
      <c r="E135" s="57">
        <v>0</v>
      </c>
      <c r="F135" s="57">
        <v>1.8392999999999999</v>
      </c>
      <c r="G135" s="57">
        <v>1.0509999999999999</v>
      </c>
      <c r="I135" s="33">
        <f t="shared" si="0"/>
        <v>0.75004757373929598</v>
      </c>
    </row>
    <row r="136" spans="1:9" x14ac:dyDescent="0.2">
      <c r="A136" s="70">
        <v>44684</v>
      </c>
      <c r="B136" s="57">
        <v>2384</v>
      </c>
      <c r="C136" s="57">
        <v>1</v>
      </c>
      <c r="D136" s="57" t="s">
        <v>175</v>
      </c>
      <c r="E136" s="57">
        <v>1</v>
      </c>
      <c r="F136" s="57">
        <v>0.62319999999999998</v>
      </c>
      <c r="G136" s="57">
        <v>0.35610000000000003</v>
      </c>
      <c r="H136" s="57" t="s">
        <v>196</v>
      </c>
      <c r="I136" s="33">
        <f t="shared" si="0"/>
        <v>0.75007020499859567</v>
      </c>
    </row>
    <row r="137" spans="1:9" x14ac:dyDescent="0.2">
      <c r="A137" s="70">
        <v>44706</v>
      </c>
      <c r="B137" s="57">
        <v>2023</v>
      </c>
      <c r="C137" s="57">
        <v>3</v>
      </c>
      <c r="D137" s="57" t="s">
        <v>175</v>
      </c>
      <c r="E137" s="57">
        <v>1</v>
      </c>
      <c r="F137" s="57">
        <v>0.29249999999999998</v>
      </c>
      <c r="G137" s="57">
        <v>0.16700000000000001</v>
      </c>
      <c r="H137" s="57" t="s">
        <v>193</v>
      </c>
      <c r="I137" s="33">
        <f t="shared" si="0"/>
        <v>0.75149700598802371</v>
      </c>
    </row>
    <row r="138" spans="1:9" x14ac:dyDescent="0.2">
      <c r="A138" s="70">
        <v>44690</v>
      </c>
      <c r="B138" s="57">
        <v>2030</v>
      </c>
      <c r="C138" s="57">
        <v>1</v>
      </c>
      <c r="D138" s="57" t="s">
        <v>192</v>
      </c>
      <c r="E138" s="57">
        <v>1</v>
      </c>
      <c r="F138" s="57">
        <v>0.63780000000000003</v>
      </c>
      <c r="G138" s="57">
        <v>0.36399999999999999</v>
      </c>
      <c r="I138" s="33">
        <f t="shared" si="0"/>
        <v>0.7521978021978023</v>
      </c>
    </row>
    <row r="139" spans="1:9" x14ac:dyDescent="0.2">
      <c r="A139" s="70">
        <v>44706</v>
      </c>
      <c r="B139" s="57">
        <v>2380</v>
      </c>
      <c r="C139" s="57">
        <v>1</v>
      </c>
      <c r="D139" s="57" t="s">
        <v>175</v>
      </c>
      <c r="E139" s="57">
        <v>1</v>
      </c>
      <c r="F139" s="57">
        <v>0.2349</v>
      </c>
      <c r="G139" s="57">
        <v>0.13400000000000001</v>
      </c>
      <c r="H139" s="57" t="s">
        <v>193</v>
      </c>
      <c r="I139" s="33">
        <f t="shared" si="0"/>
        <v>0.75298507462686559</v>
      </c>
    </row>
    <row r="140" spans="1:9" x14ac:dyDescent="0.2">
      <c r="A140" s="70">
        <v>44708</v>
      </c>
      <c r="B140" s="57">
        <v>2007</v>
      </c>
      <c r="C140" s="57">
        <v>1</v>
      </c>
      <c r="D140" s="57" t="s">
        <v>192</v>
      </c>
      <c r="E140" s="57">
        <v>0</v>
      </c>
      <c r="F140" s="57">
        <v>1.2503</v>
      </c>
      <c r="G140" s="57">
        <v>0.71199999999999997</v>
      </c>
      <c r="H140" s="57" t="s">
        <v>193</v>
      </c>
      <c r="I140" s="33">
        <f t="shared" si="0"/>
        <v>0.75603932584269662</v>
      </c>
    </row>
    <row r="141" spans="1:9" x14ac:dyDescent="0.2">
      <c r="A141" s="70">
        <v>44650</v>
      </c>
      <c r="B141" s="57">
        <v>2376</v>
      </c>
      <c r="C141" s="57">
        <v>3</v>
      </c>
      <c r="D141" s="57" t="s">
        <v>192</v>
      </c>
      <c r="E141" s="57" t="s">
        <v>60</v>
      </c>
      <c r="F141" s="57">
        <v>1.4186000000000001</v>
      </c>
      <c r="G141" s="57">
        <v>0.80700000000000005</v>
      </c>
      <c r="H141" s="57" t="s">
        <v>191</v>
      </c>
      <c r="I141" s="33">
        <f t="shared" si="0"/>
        <v>0.75786864931846343</v>
      </c>
    </row>
    <row r="142" spans="1:9" x14ac:dyDescent="0.2">
      <c r="A142" s="70">
        <v>44690</v>
      </c>
      <c r="B142" s="57">
        <v>2030</v>
      </c>
      <c r="C142" s="57">
        <v>3</v>
      </c>
      <c r="D142" s="57" t="s">
        <v>192</v>
      </c>
      <c r="E142" s="57">
        <v>1</v>
      </c>
      <c r="F142" s="57">
        <v>1.1948000000000001</v>
      </c>
      <c r="G142" s="57">
        <v>0.67900000000000005</v>
      </c>
      <c r="I142" s="33">
        <f t="shared" si="0"/>
        <v>0.75964653902798229</v>
      </c>
    </row>
    <row r="143" spans="1:9" x14ac:dyDescent="0.2">
      <c r="A143" s="70">
        <v>44704</v>
      </c>
      <c r="B143" s="57">
        <v>2083</v>
      </c>
      <c r="C143" s="57">
        <v>3</v>
      </c>
      <c r="D143" s="57" t="s">
        <v>192</v>
      </c>
      <c r="E143" s="57">
        <v>0</v>
      </c>
      <c r="F143" s="57">
        <v>1.2569999999999999</v>
      </c>
      <c r="G143" s="57">
        <v>0.71430000000000005</v>
      </c>
      <c r="I143" s="33">
        <f t="shared" si="0"/>
        <v>0.75976480470390562</v>
      </c>
    </row>
    <row r="144" spans="1:9" x14ac:dyDescent="0.2">
      <c r="A144" s="70">
        <v>44704</v>
      </c>
      <c r="B144" s="57">
        <v>2022</v>
      </c>
      <c r="C144" s="57">
        <v>1</v>
      </c>
      <c r="D144" s="57" t="s">
        <v>192</v>
      </c>
      <c r="E144" s="57">
        <v>1</v>
      </c>
      <c r="F144" s="57">
        <v>0.44030000000000002</v>
      </c>
      <c r="G144" s="57">
        <v>0.25009999999999999</v>
      </c>
      <c r="I144" s="33">
        <f t="shared" si="0"/>
        <v>0.7604958016793284</v>
      </c>
    </row>
    <row r="145" spans="1:9" x14ac:dyDescent="0.2">
      <c r="A145" s="70">
        <v>44690</v>
      </c>
      <c r="B145" s="57">
        <v>2029</v>
      </c>
      <c r="C145" s="57">
        <v>3</v>
      </c>
      <c r="D145" s="57" t="s">
        <v>192</v>
      </c>
      <c r="E145" s="57">
        <v>0</v>
      </c>
      <c r="F145" s="57">
        <v>1.0006999999999999</v>
      </c>
      <c r="G145" s="57">
        <v>0.56799999999999995</v>
      </c>
      <c r="I145" s="33">
        <f t="shared" si="0"/>
        <v>0.76179577464788739</v>
      </c>
    </row>
    <row r="146" spans="1:9" x14ac:dyDescent="0.2">
      <c r="A146" s="70">
        <v>44665</v>
      </c>
      <c r="B146" s="57">
        <v>2377</v>
      </c>
      <c r="C146" s="57">
        <v>1</v>
      </c>
      <c r="D146" s="57" t="s">
        <v>192</v>
      </c>
      <c r="E146" s="57">
        <v>1</v>
      </c>
      <c r="F146" s="57">
        <v>1.4716</v>
      </c>
      <c r="G146" s="57">
        <v>0.83520000000000005</v>
      </c>
      <c r="H146" s="57" t="s">
        <v>191</v>
      </c>
      <c r="I146" s="33">
        <f t="shared" si="0"/>
        <v>0.76197318007662829</v>
      </c>
    </row>
    <row r="147" spans="1:9" x14ac:dyDescent="0.2">
      <c r="A147" s="70">
        <v>44708</v>
      </c>
      <c r="B147" s="57">
        <v>2087</v>
      </c>
      <c r="C147" s="57">
        <v>2</v>
      </c>
      <c r="D147" s="57" t="s">
        <v>192</v>
      </c>
      <c r="E147" s="57">
        <v>0</v>
      </c>
      <c r="F147" s="57">
        <v>0.437</v>
      </c>
      <c r="G147" s="57">
        <v>0.248</v>
      </c>
      <c r="H147" s="57" t="s">
        <v>193</v>
      </c>
      <c r="I147" s="33">
        <f t="shared" si="0"/>
        <v>0.76209677419354838</v>
      </c>
    </row>
    <row r="148" spans="1:9" x14ac:dyDescent="0.2">
      <c r="A148" s="70">
        <v>44650</v>
      </c>
      <c r="B148" s="57">
        <v>2301</v>
      </c>
      <c r="C148" s="57">
        <v>1</v>
      </c>
      <c r="D148" s="57" t="s">
        <v>192</v>
      </c>
      <c r="E148" s="57" t="s">
        <v>60</v>
      </c>
      <c r="F148" s="57">
        <v>1.6583000000000001</v>
      </c>
      <c r="G148" s="57">
        <v>0.94099999999999995</v>
      </c>
      <c r="H148" s="57" t="s">
        <v>191</v>
      </c>
      <c r="I148" s="33">
        <f t="shared" si="0"/>
        <v>0.76227417640807671</v>
      </c>
    </row>
    <row r="149" spans="1:9" x14ac:dyDescent="0.2">
      <c r="A149" s="70">
        <v>44663</v>
      </c>
      <c r="B149" s="57">
        <v>2354</v>
      </c>
      <c r="C149" s="57">
        <v>3</v>
      </c>
      <c r="D149" s="57" t="s">
        <v>192</v>
      </c>
      <c r="E149" s="57">
        <v>1</v>
      </c>
      <c r="F149" s="57">
        <v>0.28199999999999997</v>
      </c>
      <c r="G149" s="57">
        <v>0.16</v>
      </c>
      <c r="H149" s="57" t="s">
        <v>195</v>
      </c>
      <c r="I149" s="33">
        <f t="shared" si="0"/>
        <v>0.76249999999999984</v>
      </c>
    </row>
    <row r="150" spans="1:9" x14ac:dyDescent="0.2">
      <c r="A150" s="70">
        <v>44662</v>
      </c>
      <c r="B150" s="57">
        <v>2091</v>
      </c>
      <c r="C150" s="57">
        <v>2</v>
      </c>
      <c r="D150" s="57" t="s">
        <v>175</v>
      </c>
      <c r="E150" s="57">
        <v>1</v>
      </c>
      <c r="F150" s="57">
        <v>0.73170000000000002</v>
      </c>
      <c r="G150" s="57">
        <v>0.41499999999999998</v>
      </c>
      <c r="H150" s="57" t="s">
        <v>191</v>
      </c>
      <c r="I150" s="33">
        <f t="shared" si="0"/>
        <v>0.7631325301204821</v>
      </c>
    </row>
    <row r="151" spans="1:9" x14ac:dyDescent="0.2">
      <c r="A151" s="70">
        <v>44690</v>
      </c>
      <c r="B151" s="57">
        <v>2028</v>
      </c>
      <c r="C151" s="57">
        <v>2</v>
      </c>
      <c r="D151" s="57" t="s">
        <v>192</v>
      </c>
      <c r="E151" s="57">
        <v>0</v>
      </c>
      <c r="F151" s="57">
        <v>1.2257</v>
      </c>
      <c r="G151" s="57">
        <v>0.69499999999999995</v>
      </c>
      <c r="I151" s="33">
        <f t="shared" si="0"/>
        <v>0.76359712230215837</v>
      </c>
    </row>
    <row r="152" spans="1:9" x14ac:dyDescent="0.2">
      <c r="A152" s="70">
        <v>44690</v>
      </c>
      <c r="B152" s="57">
        <v>2023</v>
      </c>
      <c r="C152" s="57">
        <v>1</v>
      </c>
      <c r="D152" s="57" t="s">
        <v>192</v>
      </c>
      <c r="E152" s="57">
        <v>1</v>
      </c>
      <c r="F152" s="57">
        <v>1.4512</v>
      </c>
      <c r="G152" s="57">
        <v>0.82279999999999998</v>
      </c>
      <c r="I152" s="33">
        <f t="shared" si="0"/>
        <v>0.76373359261059803</v>
      </c>
    </row>
    <row r="153" spans="1:9" x14ac:dyDescent="0.2">
      <c r="A153" s="70">
        <v>44706</v>
      </c>
      <c r="B153" s="57">
        <v>2023</v>
      </c>
      <c r="C153" s="57">
        <v>2</v>
      </c>
      <c r="D153" s="57" t="s">
        <v>192</v>
      </c>
      <c r="E153" s="57">
        <v>0</v>
      </c>
      <c r="F153" s="57">
        <v>0.1041</v>
      </c>
      <c r="G153" s="57">
        <v>5.8999999999999997E-2</v>
      </c>
      <c r="H153" s="57" t="s">
        <v>193</v>
      </c>
      <c r="I153" s="33">
        <f t="shared" si="0"/>
        <v>0.764406779661017</v>
      </c>
    </row>
    <row r="154" spans="1:9" x14ac:dyDescent="0.2">
      <c r="A154" s="70">
        <v>44704</v>
      </c>
      <c r="B154" s="57">
        <v>2028</v>
      </c>
      <c r="C154" s="57">
        <v>2</v>
      </c>
      <c r="D154" s="57" t="s">
        <v>192</v>
      </c>
      <c r="E154" s="57">
        <v>0</v>
      </c>
      <c r="F154" s="57">
        <v>0.78480000000000005</v>
      </c>
      <c r="G154" s="57">
        <v>0.44419999999999998</v>
      </c>
      <c r="I154" s="33">
        <f t="shared" si="0"/>
        <v>0.76677172444844688</v>
      </c>
    </row>
    <row r="155" spans="1:9" x14ac:dyDescent="0.2">
      <c r="A155" s="70">
        <v>44706</v>
      </c>
      <c r="B155" s="57">
        <v>2372</v>
      </c>
      <c r="C155" s="57">
        <v>1</v>
      </c>
      <c r="D155" s="57" t="s">
        <v>175</v>
      </c>
      <c r="E155" s="57">
        <v>1</v>
      </c>
      <c r="F155" s="57">
        <v>0.15920000000000001</v>
      </c>
      <c r="G155" s="57">
        <v>0.09</v>
      </c>
      <c r="H155" s="57" t="s">
        <v>193</v>
      </c>
      <c r="I155" s="33">
        <f t="shared" si="0"/>
        <v>0.76888888888888907</v>
      </c>
    </row>
    <row r="156" spans="1:9" x14ac:dyDescent="0.2">
      <c r="A156" s="70">
        <v>44708</v>
      </c>
      <c r="B156" s="57">
        <v>2012</v>
      </c>
      <c r="C156" s="57">
        <v>3</v>
      </c>
      <c r="D156" s="57" t="s">
        <v>175</v>
      </c>
      <c r="E156" s="57">
        <v>0</v>
      </c>
      <c r="F156" s="57">
        <v>2.3E-2</v>
      </c>
      <c r="G156" s="57">
        <v>1.2999999999999999E-2</v>
      </c>
      <c r="H156" s="57" t="s">
        <v>193</v>
      </c>
      <c r="I156" s="33">
        <f t="shared" si="0"/>
        <v>0.76923076923076927</v>
      </c>
    </row>
    <row r="157" spans="1:9" x14ac:dyDescent="0.2">
      <c r="A157" s="70">
        <v>44708</v>
      </c>
      <c r="B157" s="57">
        <v>2093</v>
      </c>
      <c r="C157" s="57">
        <v>2</v>
      </c>
      <c r="D157" s="57" t="s">
        <v>192</v>
      </c>
      <c r="E157" s="57">
        <v>0</v>
      </c>
      <c r="F157" s="57">
        <v>0.94499999999999995</v>
      </c>
      <c r="G157" s="57">
        <v>0.53400000000000003</v>
      </c>
      <c r="H157" s="57" t="s">
        <v>193</v>
      </c>
      <c r="I157" s="33">
        <f t="shared" si="0"/>
        <v>0.76966292134831438</v>
      </c>
    </row>
    <row r="158" spans="1:9" x14ac:dyDescent="0.2">
      <c r="A158" s="70">
        <v>44685</v>
      </c>
      <c r="B158" s="57">
        <v>2352</v>
      </c>
      <c r="C158" s="57">
        <v>1</v>
      </c>
      <c r="D158" s="57" t="s">
        <v>175</v>
      </c>
      <c r="E158" s="57">
        <v>1</v>
      </c>
      <c r="F158" s="57">
        <v>0.19409999999999999</v>
      </c>
      <c r="G158" s="57">
        <v>0.1096</v>
      </c>
      <c r="I158" s="33">
        <f t="shared" si="0"/>
        <v>0.77098540145985395</v>
      </c>
    </row>
    <row r="159" spans="1:9" x14ac:dyDescent="0.2">
      <c r="A159" s="70">
        <v>44650</v>
      </c>
      <c r="B159" s="57">
        <v>2377</v>
      </c>
      <c r="C159" s="57">
        <v>1</v>
      </c>
      <c r="D159" s="57" t="s">
        <v>192</v>
      </c>
      <c r="E159" s="57" t="s">
        <v>60</v>
      </c>
      <c r="F159" s="57">
        <v>0.92630000000000001</v>
      </c>
      <c r="G159" s="57">
        <v>0.52300000000000002</v>
      </c>
      <c r="H159" s="57" t="s">
        <v>191</v>
      </c>
      <c r="I159" s="33">
        <f t="shared" si="0"/>
        <v>0.77112810707456969</v>
      </c>
    </row>
    <row r="160" spans="1:9" x14ac:dyDescent="0.2">
      <c r="A160" s="70">
        <v>44706</v>
      </c>
      <c r="B160" s="57">
        <v>2380</v>
      </c>
      <c r="C160" s="57">
        <v>2</v>
      </c>
      <c r="D160" s="57" t="s">
        <v>175</v>
      </c>
      <c r="E160" s="57">
        <v>1</v>
      </c>
      <c r="F160" s="57">
        <v>0.3579</v>
      </c>
      <c r="G160" s="57">
        <v>0.20200000000000001</v>
      </c>
      <c r="H160" s="57" t="s">
        <v>193</v>
      </c>
      <c r="I160" s="33">
        <f t="shared" si="0"/>
        <v>0.77178217821782169</v>
      </c>
    </row>
    <row r="161" spans="1:9" x14ac:dyDescent="0.2">
      <c r="A161" s="70">
        <v>44665</v>
      </c>
      <c r="B161" s="57">
        <v>2345</v>
      </c>
      <c r="C161" s="57">
        <v>2</v>
      </c>
      <c r="D161" s="57" t="s">
        <v>175</v>
      </c>
      <c r="E161" s="57">
        <v>1</v>
      </c>
      <c r="F161" s="57">
        <v>0.13100000000000001</v>
      </c>
      <c r="G161" s="57">
        <v>7.3899999999999993E-2</v>
      </c>
      <c r="H161" s="57" t="s">
        <v>191</v>
      </c>
      <c r="I161" s="33">
        <f t="shared" si="0"/>
        <v>0.7726657645466849</v>
      </c>
    </row>
    <row r="162" spans="1:9" x14ac:dyDescent="0.2">
      <c r="A162" s="70">
        <v>44708</v>
      </c>
      <c r="B162" s="57">
        <v>2007</v>
      </c>
      <c r="C162" s="57">
        <v>3</v>
      </c>
      <c r="D162" s="57" t="s">
        <v>192</v>
      </c>
      <c r="E162" s="57">
        <v>0</v>
      </c>
      <c r="F162" s="57">
        <v>1.4668000000000001</v>
      </c>
      <c r="G162" s="57">
        <v>0.82699999999999996</v>
      </c>
      <c r="H162" s="57" t="s">
        <v>193</v>
      </c>
      <c r="I162" s="33">
        <f t="shared" si="0"/>
        <v>0.77363966142684426</v>
      </c>
    </row>
    <row r="163" spans="1:9" x14ac:dyDescent="0.2">
      <c r="A163" s="70">
        <v>44663</v>
      </c>
      <c r="B163" s="57">
        <v>2331</v>
      </c>
      <c r="C163" s="57">
        <v>1</v>
      </c>
      <c r="D163" s="57" t="s">
        <v>192</v>
      </c>
      <c r="E163" s="57">
        <v>1</v>
      </c>
      <c r="F163" s="57">
        <v>0.93700000000000006</v>
      </c>
      <c r="G163" s="57">
        <v>0.52800000000000002</v>
      </c>
      <c r="H163" s="57" t="s">
        <v>195</v>
      </c>
      <c r="I163" s="33">
        <f t="shared" si="0"/>
        <v>0.77462121212121215</v>
      </c>
    </row>
    <row r="164" spans="1:9" x14ac:dyDescent="0.2">
      <c r="A164" s="70">
        <v>44706</v>
      </c>
      <c r="B164" s="57">
        <v>2380</v>
      </c>
      <c r="C164" s="57">
        <v>3</v>
      </c>
      <c r="D164" s="57" t="s">
        <v>175</v>
      </c>
      <c r="E164" s="57">
        <v>1</v>
      </c>
      <c r="F164" s="57">
        <v>0.65310000000000001</v>
      </c>
      <c r="G164" s="57">
        <v>0.36799999999999999</v>
      </c>
      <c r="H164" s="57" t="s">
        <v>193</v>
      </c>
      <c r="I164" s="33">
        <f t="shared" si="0"/>
        <v>0.77472826086956526</v>
      </c>
    </row>
    <row r="165" spans="1:9" x14ac:dyDescent="0.2">
      <c r="A165" s="70">
        <v>44690</v>
      </c>
      <c r="B165" s="57">
        <v>2026</v>
      </c>
      <c r="C165" s="57">
        <v>1</v>
      </c>
      <c r="D165" s="57" t="s">
        <v>175</v>
      </c>
      <c r="E165" s="57">
        <v>1</v>
      </c>
      <c r="F165" s="57">
        <v>0.35499999999999998</v>
      </c>
      <c r="G165" s="57">
        <v>0.2</v>
      </c>
      <c r="I165" s="33">
        <f t="shared" si="0"/>
        <v>0.7749999999999998</v>
      </c>
    </row>
    <row r="166" spans="1:9" x14ac:dyDescent="0.2">
      <c r="A166" s="70">
        <v>44708</v>
      </c>
      <c r="B166" s="57">
        <v>2004</v>
      </c>
      <c r="C166" s="57">
        <v>3</v>
      </c>
      <c r="D166" s="57" t="s">
        <v>192</v>
      </c>
      <c r="E166" s="57">
        <v>0</v>
      </c>
      <c r="F166" s="57">
        <v>0.38700000000000001</v>
      </c>
      <c r="G166" s="57">
        <v>0.218</v>
      </c>
      <c r="H166" s="57" t="s">
        <v>193</v>
      </c>
      <c r="I166" s="33">
        <f t="shared" si="0"/>
        <v>0.77522935779816515</v>
      </c>
    </row>
    <row r="167" spans="1:9" x14ac:dyDescent="0.2">
      <c r="A167" s="70">
        <v>44662</v>
      </c>
      <c r="B167" s="57">
        <v>2089</v>
      </c>
      <c r="C167" s="57">
        <v>1</v>
      </c>
      <c r="D167" s="57" t="s">
        <v>192</v>
      </c>
      <c r="E167" s="57">
        <v>0</v>
      </c>
      <c r="F167" s="57">
        <v>0.80610000000000004</v>
      </c>
      <c r="G167" s="57">
        <v>0.45400000000000001</v>
      </c>
      <c r="H167" s="57" t="s">
        <v>191</v>
      </c>
      <c r="I167" s="33">
        <f t="shared" si="0"/>
        <v>0.77555066079295154</v>
      </c>
    </row>
    <row r="168" spans="1:9" x14ac:dyDescent="0.2">
      <c r="A168" s="70">
        <v>44708</v>
      </c>
      <c r="B168" s="57">
        <v>2008</v>
      </c>
      <c r="C168" s="57">
        <v>3</v>
      </c>
      <c r="D168" s="57" t="s">
        <v>192</v>
      </c>
      <c r="E168" s="57">
        <v>0</v>
      </c>
      <c r="F168" s="57">
        <v>0.4355</v>
      </c>
      <c r="G168" s="57">
        <v>0.245</v>
      </c>
      <c r="H168" s="57" t="s">
        <v>193</v>
      </c>
      <c r="I168" s="33">
        <f t="shared" si="0"/>
        <v>0.77755102040816326</v>
      </c>
    </row>
    <row r="169" spans="1:9" x14ac:dyDescent="0.2">
      <c r="A169" s="70">
        <v>44708</v>
      </c>
      <c r="B169" s="57">
        <v>2004</v>
      </c>
      <c r="C169" s="57">
        <v>2</v>
      </c>
      <c r="D169" s="57" t="s">
        <v>192</v>
      </c>
      <c r="E169" s="57">
        <v>0</v>
      </c>
      <c r="F169" s="57">
        <v>0.93899999999999995</v>
      </c>
      <c r="G169" s="57">
        <v>0.52800000000000002</v>
      </c>
      <c r="H169" s="57" t="s">
        <v>193</v>
      </c>
      <c r="I169" s="33">
        <f t="shared" si="0"/>
        <v>0.77840909090909072</v>
      </c>
    </row>
    <row r="170" spans="1:9" x14ac:dyDescent="0.2">
      <c r="A170" s="70">
        <v>44704</v>
      </c>
      <c r="B170" s="57">
        <v>2030</v>
      </c>
      <c r="C170" s="57">
        <v>1</v>
      </c>
      <c r="D170" s="57" t="s">
        <v>192</v>
      </c>
      <c r="E170" s="57">
        <v>0</v>
      </c>
      <c r="F170" s="57">
        <v>0.97789999999999999</v>
      </c>
      <c r="G170" s="57">
        <v>0.54900000000000004</v>
      </c>
      <c r="I170" s="33">
        <f t="shared" si="0"/>
        <v>0.78123861566484498</v>
      </c>
    </row>
    <row r="171" spans="1:9" x14ac:dyDescent="0.2">
      <c r="A171" s="70">
        <v>44650</v>
      </c>
      <c r="B171" s="57">
        <v>2301</v>
      </c>
      <c r="C171" s="57">
        <v>3</v>
      </c>
      <c r="D171" s="57" t="s">
        <v>192</v>
      </c>
      <c r="E171" s="57" t="s">
        <v>60</v>
      </c>
      <c r="F171" s="57">
        <v>1.4681</v>
      </c>
      <c r="G171" s="57">
        <v>0.82399999999999995</v>
      </c>
      <c r="H171" s="57" t="s">
        <v>191</v>
      </c>
      <c r="I171" s="33">
        <f t="shared" si="0"/>
        <v>0.78167475728155345</v>
      </c>
    </row>
    <row r="172" spans="1:9" x14ac:dyDescent="0.2">
      <c r="A172" s="70">
        <v>44704</v>
      </c>
      <c r="B172" s="57">
        <v>2029</v>
      </c>
      <c r="C172" s="57">
        <v>3</v>
      </c>
      <c r="D172" s="57" t="s">
        <v>192</v>
      </c>
      <c r="E172" s="57">
        <v>0</v>
      </c>
      <c r="F172" s="57">
        <v>1.4277</v>
      </c>
      <c r="G172" s="57">
        <v>0.80120000000000002</v>
      </c>
      <c r="I172" s="33">
        <f t="shared" si="0"/>
        <v>0.78195207189216165</v>
      </c>
    </row>
    <row r="173" spans="1:9" x14ac:dyDescent="0.2">
      <c r="A173" s="70">
        <v>44704</v>
      </c>
      <c r="B173" s="57">
        <v>2380</v>
      </c>
      <c r="C173" s="57">
        <v>3</v>
      </c>
      <c r="D173" s="57" t="s">
        <v>175</v>
      </c>
      <c r="E173" s="57">
        <v>0</v>
      </c>
      <c r="F173" s="57">
        <v>0.23369999999999999</v>
      </c>
      <c r="G173" s="57">
        <v>0.13100000000000001</v>
      </c>
      <c r="I173" s="33">
        <f t="shared" si="0"/>
        <v>0.78396946564885484</v>
      </c>
    </row>
    <row r="174" spans="1:9" x14ac:dyDescent="0.2">
      <c r="A174" s="70">
        <v>44708</v>
      </c>
      <c r="B174" s="57">
        <v>2008</v>
      </c>
      <c r="C174" s="57">
        <v>3</v>
      </c>
      <c r="D174" s="57" t="s">
        <v>175</v>
      </c>
      <c r="E174" s="57">
        <v>1</v>
      </c>
      <c r="F174" s="57">
        <v>2.3199999999999998E-2</v>
      </c>
      <c r="G174" s="57">
        <v>1.2999999999999999E-2</v>
      </c>
      <c r="H174" s="57" t="s">
        <v>193</v>
      </c>
      <c r="I174" s="33">
        <f t="shared" si="0"/>
        <v>0.7846153846153846</v>
      </c>
    </row>
    <row r="175" spans="1:9" x14ac:dyDescent="0.2">
      <c r="A175" s="70">
        <v>44684</v>
      </c>
      <c r="B175" s="57">
        <v>2384</v>
      </c>
      <c r="C175" s="57">
        <v>2</v>
      </c>
      <c r="D175" s="57" t="s">
        <v>175</v>
      </c>
      <c r="E175" s="57">
        <v>1</v>
      </c>
      <c r="F175" s="57">
        <v>0.1245</v>
      </c>
      <c r="G175" s="57">
        <v>6.9699999999999998E-2</v>
      </c>
      <c r="H175" s="57" t="s">
        <v>196</v>
      </c>
      <c r="I175" s="33">
        <f t="shared" si="0"/>
        <v>0.78622668579626975</v>
      </c>
    </row>
    <row r="176" spans="1:9" x14ac:dyDescent="0.2">
      <c r="A176" s="70">
        <v>44690</v>
      </c>
      <c r="B176" s="57">
        <v>2005</v>
      </c>
      <c r="C176" s="57">
        <v>3</v>
      </c>
      <c r="D176" s="57" t="s">
        <v>192</v>
      </c>
      <c r="E176" s="57">
        <v>0</v>
      </c>
      <c r="F176" s="57">
        <v>1.0888</v>
      </c>
      <c r="G176" s="57">
        <v>0.60899999999999999</v>
      </c>
      <c r="I176" s="33">
        <f t="shared" si="0"/>
        <v>0.7878489326765189</v>
      </c>
    </row>
    <row r="177" spans="1:9" x14ac:dyDescent="0.2">
      <c r="A177" s="70">
        <v>44663</v>
      </c>
      <c r="B177" s="57">
        <v>2352</v>
      </c>
      <c r="C177" s="57">
        <v>2</v>
      </c>
      <c r="D177" s="57" t="s">
        <v>192</v>
      </c>
      <c r="E177" s="57">
        <v>1</v>
      </c>
      <c r="F177" s="57">
        <v>0.69399999999999995</v>
      </c>
      <c r="G177" s="57">
        <v>0.38800000000000001</v>
      </c>
      <c r="H177" s="57" t="s">
        <v>195</v>
      </c>
      <c r="I177" s="33">
        <f t="shared" si="0"/>
        <v>0.78865979381443285</v>
      </c>
    </row>
    <row r="178" spans="1:9" x14ac:dyDescent="0.2">
      <c r="A178" s="70">
        <v>44708</v>
      </c>
      <c r="B178" s="57">
        <v>2007</v>
      </c>
      <c r="C178" s="57">
        <v>2</v>
      </c>
      <c r="D178" s="57" t="s">
        <v>192</v>
      </c>
      <c r="E178" s="57">
        <v>0</v>
      </c>
      <c r="F178" s="57">
        <v>1.0202</v>
      </c>
      <c r="G178" s="57">
        <v>0.56999999999999995</v>
      </c>
      <c r="H178" s="57" t="s">
        <v>193</v>
      </c>
      <c r="I178" s="33">
        <f t="shared" si="0"/>
        <v>0.78982456140350887</v>
      </c>
    </row>
    <row r="179" spans="1:9" x14ac:dyDescent="0.2">
      <c r="A179" s="70">
        <v>44663</v>
      </c>
      <c r="B179" s="57">
        <v>2352</v>
      </c>
      <c r="C179" s="57">
        <v>1</v>
      </c>
      <c r="D179" s="57" t="s">
        <v>192</v>
      </c>
      <c r="E179" s="57">
        <v>1</v>
      </c>
      <c r="F179" s="57">
        <v>0.32400000000000001</v>
      </c>
      <c r="G179" s="57">
        <v>0.18099999999999999</v>
      </c>
      <c r="H179" s="57" t="s">
        <v>195</v>
      </c>
      <c r="I179" s="33">
        <f t="shared" si="0"/>
        <v>0.79005524861878462</v>
      </c>
    </row>
    <row r="180" spans="1:9" x14ac:dyDescent="0.2">
      <c r="A180" s="70">
        <v>44704</v>
      </c>
      <c r="B180" s="57">
        <v>2028</v>
      </c>
      <c r="C180" s="57">
        <v>1</v>
      </c>
      <c r="D180" s="57" t="s">
        <v>192</v>
      </c>
      <c r="E180" s="57">
        <v>0</v>
      </c>
      <c r="F180" s="57">
        <v>0.87560000000000004</v>
      </c>
      <c r="G180" s="57">
        <v>0.48899999999999999</v>
      </c>
      <c r="I180" s="33">
        <f t="shared" si="0"/>
        <v>0.79059304703476496</v>
      </c>
    </row>
    <row r="181" spans="1:9" x14ac:dyDescent="0.2">
      <c r="A181" s="70">
        <v>44650</v>
      </c>
      <c r="B181" s="57">
        <v>2331</v>
      </c>
      <c r="C181" s="57">
        <v>3</v>
      </c>
      <c r="D181" s="57" t="s">
        <v>192</v>
      </c>
      <c r="E181" s="57" t="s">
        <v>60</v>
      </c>
      <c r="F181" s="57">
        <v>0.99209999999999998</v>
      </c>
      <c r="G181" s="57">
        <v>0.55400000000000005</v>
      </c>
      <c r="H181" s="57" t="s">
        <v>191</v>
      </c>
      <c r="I181" s="33">
        <f t="shared" si="0"/>
        <v>0.7907942238267146</v>
      </c>
    </row>
    <row r="182" spans="1:9" x14ac:dyDescent="0.2">
      <c r="A182" s="70">
        <v>44706</v>
      </c>
      <c r="B182" s="57">
        <v>2023</v>
      </c>
      <c r="C182" s="57">
        <v>1</v>
      </c>
      <c r="D182" s="57" t="s">
        <v>175</v>
      </c>
      <c r="E182" s="57">
        <v>1</v>
      </c>
      <c r="F182" s="57">
        <v>0.14149999999999999</v>
      </c>
      <c r="G182" s="57">
        <v>7.9000000000000001E-2</v>
      </c>
      <c r="H182" s="57" t="s">
        <v>193</v>
      </c>
      <c r="I182" s="33">
        <f t="shared" si="0"/>
        <v>0.79113924050632889</v>
      </c>
    </row>
    <row r="183" spans="1:9" x14ac:dyDescent="0.2">
      <c r="A183" s="70">
        <v>44704</v>
      </c>
      <c r="B183" s="57">
        <v>2376</v>
      </c>
      <c r="C183" s="57">
        <v>2</v>
      </c>
      <c r="D183" s="57" t="s">
        <v>175</v>
      </c>
      <c r="E183" s="57">
        <v>1</v>
      </c>
      <c r="F183" s="57">
        <v>0.62570000000000003</v>
      </c>
      <c r="G183" s="57">
        <v>0.3493</v>
      </c>
      <c r="I183" s="33">
        <f t="shared" si="0"/>
        <v>0.79129687947323224</v>
      </c>
    </row>
    <row r="184" spans="1:9" x14ac:dyDescent="0.2">
      <c r="A184" s="70">
        <v>44704</v>
      </c>
      <c r="B184" s="57">
        <v>2022</v>
      </c>
      <c r="C184" s="57">
        <v>1</v>
      </c>
      <c r="D184" s="57" t="s">
        <v>175</v>
      </c>
      <c r="E184" s="57">
        <v>1</v>
      </c>
      <c r="F184" s="57">
        <v>0.21329999999999999</v>
      </c>
      <c r="G184" s="57">
        <v>0.11899999999999999</v>
      </c>
      <c r="I184" s="33">
        <f t="shared" si="0"/>
        <v>0.79243697478991593</v>
      </c>
    </row>
    <row r="185" spans="1:9" x14ac:dyDescent="0.2">
      <c r="A185" s="70">
        <v>44708</v>
      </c>
      <c r="B185" s="57">
        <v>2004</v>
      </c>
      <c r="C185" s="57">
        <v>1</v>
      </c>
      <c r="D185" s="57" t="s">
        <v>175</v>
      </c>
      <c r="E185" s="57">
        <v>0</v>
      </c>
      <c r="F185" s="57">
        <v>0.14699999999999999</v>
      </c>
      <c r="G185" s="57">
        <v>8.2000000000000003E-2</v>
      </c>
      <c r="H185" s="57" t="s">
        <v>193</v>
      </c>
      <c r="I185" s="33">
        <f t="shared" si="0"/>
        <v>0.79268292682926811</v>
      </c>
    </row>
    <row r="186" spans="1:9" x14ac:dyDescent="0.2">
      <c r="A186" s="70">
        <v>44650</v>
      </c>
      <c r="B186" s="57">
        <v>2352</v>
      </c>
      <c r="C186" s="57">
        <v>1</v>
      </c>
      <c r="D186" s="57" t="s">
        <v>175</v>
      </c>
      <c r="E186" s="57" t="s">
        <v>60</v>
      </c>
      <c r="F186" s="57">
        <v>0.31230000000000002</v>
      </c>
      <c r="G186" s="57">
        <v>0.17399999999999999</v>
      </c>
      <c r="H186" s="57" t="s">
        <v>191</v>
      </c>
      <c r="I186" s="33">
        <f t="shared" si="0"/>
        <v>0.79482758620689675</v>
      </c>
    </row>
    <row r="187" spans="1:9" x14ac:dyDescent="0.2">
      <c r="A187" s="70">
        <v>44684</v>
      </c>
      <c r="B187" s="57">
        <v>2369</v>
      </c>
      <c r="C187" s="57">
        <v>2</v>
      </c>
      <c r="D187" s="57" t="s">
        <v>175</v>
      </c>
      <c r="E187" s="57">
        <v>1</v>
      </c>
      <c r="F187" s="57">
        <v>0.14449999999999999</v>
      </c>
      <c r="G187" s="57">
        <v>8.0500000000000002E-2</v>
      </c>
      <c r="H187" s="57" t="s">
        <v>196</v>
      </c>
      <c r="I187" s="33">
        <f t="shared" si="0"/>
        <v>0.79503105590062095</v>
      </c>
    </row>
    <row r="188" spans="1:9" x14ac:dyDescent="0.2">
      <c r="A188" s="70">
        <v>44704</v>
      </c>
      <c r="B188" s="57">
        <v>2028</v>
      </c>
      <c r="C188" s="57">
        <v>3</v>
      </c>
      <c r="D188" s="57" t="s">
        <v>192</v>
      </c>
      <c r="E188" s="57">
        <v>0</v>
      </c>
      <c r="F188" s="57">
        <v>1.8612</v>
      </c>
      <c r="G188" s="57">
        <v>1.0362</v>
      </c>
      <c r="I188" s="33">
        <f t="shared" si="0"/>
        <v>0.79617834394904452</v>
      </c>
    </row>
    <row r="189" spans="1:9" x14ac:dyDescent="0.2">
      <c r="A189" s="70">
        <v>44650</v>
      </c>
      <c r="B189" s="57">
        <v>2301</v>
      </c>
      <c r="C189" s="57">
        <v>2</v>
      </c>
      <c r="D189" s="57" t="s">
        <v>192</v>
      </c>
      <c r="E189" s="57" t="s">
        <v>60</v>
      </c>
      <c r="F189" s="57">
        <v>1.2179</v>
      </c>
      <c r="G189" s="57">
        <v>0.67800000000000005</v>
      </c>
      <c r="H189" s="57" t="s">
        <v>191</v>
      </c>
      <c r="I189" s="33">
        <f t="shared" si="0"/>
        <v>0.79631268436578151</v>
      </c>
    </row>
    <row r="190" spans="1:9" x14ac:dyDescent="0.2">
      <c r="A190" s="70">
        <v>44663</v>
      </c>
      <c r="B190" s="57">
        <v>2331</v>
      </c>
      <c r="C190" s="57">
        <v>2</v>
      </c>
      <c r="D190" s="57" t="s">
        <v>192</v>
      </c>
      <c r="E190" s="57">
        <v>1</v>
      </c>
      <c r="F190" s="57">
        <v>1.0509999999999999</v>
      </c>
      <c r="G190" s="57">
        <v>0.58499999999999996</v>
      </c>
      <c r="H190" s="57" t="s">
        <v>195</v>
      </c>
      <c r="I190" s="33">
        <f t="shared" si="0"/>
        <v>0.79658119658119653</v>
      </c>
    </row>
    <row r="191" spans="1:9" x14ac:dyDescent="0.2">
      <c r="A191" s="70">
        <v>44708</v>
      </c>
      <c r="B191" s="57">
        <v>2091</v>
      </c>
      <c r="C191" s="57">
        <v>2</v>
      </c>
      <c r="D191" s="57" t="s">
        <v>192</v>
      </c>
      <c r="E191" s="57">
        <v>0</v>
      </c>
      <c r="F191" s="57">
        <v>1.6047</v>
      </c>
      <c r="G191" s="57">
        <v>0.89300000000000002</v>
      </c>
      <c r="H191" s="57" t="s">
        <v>193</v>
      </c>
      <c r="I191" s="33">
        <f t="shared" si="0"/>
        <v>0.796976483762598</v>
      </c>
    </row>
    <row r="192" spans="1:9" x14ac:dyDescent="0.2">
      <c r="A192" s="70">
        <v>44708</v>
      </c>
      <c r="B192" s="57">
        <v>2092</v>
      </c>
      <c r="C192" s="57">
        <v>3</v>
      </c>
      <c r="D192" s="57" t="s">
        <v>192</v>
      </c>
      <c r="E192" s="57">
        <v>1</v>
      </c>
      <c r="F192" s="57">
        <v>1.0009999999999999</v>
      </c>
      <c r="G192" s="57">
        <v>0.55700000000000005</v>
      </c>
      <c r="H192" s="57" t="s">
        <v>193</v>
      </c>
      <c r="I192" s="33">
        <f t="shared" si="0"/>
        <v>0.79712746858168726</v>
      </c>
    </row>
    <row r="193" spans="1:9" x14ac:dyDescent="0.2">
      <c r="A193" s="70">
        <v>44650</v>
      </c>
      <c r="B193" s="57">
        <v>2345</v>
      </c>
      <c r="C193" s="57">
        <v>1</v>
      </c>
      <c r="D193" s="57" t="s">
        <v>192</v>
      </c>
      <c r="E193" s="57" t="s">
        <v>60</v>
      </c>
      <c r="F193" s="57">
        <v>2.1682999999999999</v>
      </c>
      <c r="G193" s="57">
        <v>1.2050000000000001</v>
      </c>
      <c r="H193" s="57" t="s">
        <v>191</v>
      </c>
      <c r="I193" s="33">
        <f t="shared" si="0"/>
        <v>0.79941908713692922</v>
      </c>
    </row>
    <row r="194" spans="1:9" x14ac:dyDescent="0.2">
      <c r="A194" s="70">
        <v>44684</v>
      </c>
      <c r="B194" s="57">
        <v>2009</v>
      </c>
      <c r="C194" s="57">
        <v>3</v>
      </c>
      <c r="D194" s="57" t="s">
        <v>175</v>
      </c>
      <c r="E194" s="57">
        <v>1</v>
      </c>
      <c r="F194" s="57">
        <v>0.31080000000000002</v>
      </c>
      <c r="G194" s="57">
        <v>0.17269999999999999</v>
      </c>
      <c r="H194" s="57" t="s">
        <v>196</v>
      </c>
      <c r="I194" s="33">
        <f t="shared" si="0"/>
        <v>0.79965257672264056</v>
      </c>
    </row>
    <row r="195" spans="1:9" x14ac:dyDescent="0.2">
      <c r="A195" s="70">
        <v>44706</v>
      </c>
      <c r="B195" s="57">
        <v>2023</v>
      </c>
      <c r="C195" s="57">
        <v>1</v>
      </c>
      <c r="D195" s="57" t="s">
        <v>192</v>
      </c>
      <c r="E195" s="57">
        <v>0</v>
      </c>
      <c r="F195" s="57">
        <v>0.56730000000000003</v>
      </c>
      <c r="G195" s="57">
        <v>0.31509999999999999</v>
      </c>
      <c r="H195" s="57" t="s">
        <v>193</v>
      </c>
      <c r="I195" s="33">
        <f t="shared" si="0"/>
        <v>0.80038083148206929</v>
      </c>
    </row>
    <row r="196" spans="1:9" x14ac:dyDescent="0.2">
      <c r="A196" s="70">
        <v>44685</v>
      </c>
      <c r="B196" s="57">
        <v>2345</v>
      </c>
      <c r="C196" s="57">
        <v>2</v>
      </c>
      <c r="D196" s="57" t="s">
        <v>175</v>
      </c>
      <c r="E196" s="57">
        <v>1</v>
      </c>
      <c r="F196" s="57">
        <v>0.34339999999999998</v>
      </c>
      <c r="G196" s="57">
        <v>0.19070000000000001</v>
      </c>
      <c r="I196" s="33">
        <f t="shared" si="0"/>
        <v>0.80073413738856825</v>
      </c>
    </row>
    <row r="197" spans="1:9" x14ac:dyDescent="0.2">
      <c r="A197" s="70">
        <v>44650</v>
      </c>
      <c r="B197" s="57">
        <v>2345</v>
      </c>
      <c r="C197" s="57">
        <v>3</v>
      </c>
      <c r="D197" s="57" t="s">
        <v>192</v>
      </c>
      <c r="E197" s="57" t="s">
        <v>60</v>
      </c>
      <c r="F197" s="57">
        <v>1.72</v>
      </c>
      <c r="G197" s="57">
        <v>0.95499999999999996</v>
      </c>
      <c r="H197" s="57" t="s">
        <v>191</v>
      </c>
      <c r="I197" s="33">
        <f t="shared" si="0"/>
        <v>0.80104712041884818</v>
      </c>
    </row>
    <row r="198" spans="1:9" x14ac:dyDescent="0.2">
      <c r="A198" s="70">
        <v>44704</v>
      </c>
      <c r="B198" s="57">
        <v>2022</v>
      </c>
      <c r="C198" s="57">
        <v>1</v>
      </c>
      <c r="D198" s="57" t="s">
        <v>192</v>
      </c>
      <c r="E198" s="57">
        <v>0</v>
      </c>
      <c r="F198" s="57">
        <v>3.5891999999999999</v>
      </c>
      <c r="G198" s="57">
        <v>1.992</v>
      </c>
      <c r="I198" s="33">
        <f t="shared" si="0"/>
        <v>0.80180722891566258</v>
      </c>
    </row>
    <row r="199" spans="1:9" x14ac:dyDescent="0.2">
      <c r="A199" s="70">
        <v>44706</v>
      </c>
      <c r="B199" s="57">
        <v>2352</v>
      </c>
      <c r="C199" s="57">
        <v>3</v>
      </c>
      <c r="D199" s="57" t="s">
        <v>192</v>
      </c>
      <c r="E199" s="57">
        <v>1</v>
      </c>
      <c r="F199" s="57">
        <v>0.27750000000000002</v>
      </c>
      <c r="G199" s="57">
        <v>0.154</v>
      </c>
      <c r="H199" s="57" t="s">
        <v>193</v>
      </c>
      <c r="I199" s="33">
        <f t="shared" si="0"/>
        <v>0.80194805194805208</v>
      </c>
    </row>
    <row r="200" spans="1:9" x14ac:dyDescent="0.2">
      <c r="A200" s="70">
        <v>44665</v>
      </c>
      <c r="B200" s="57">
        <v>2010</v>
      </c>
      <c r="C200" s="57">
        <v>1</v>
      </c>
      <c r="D200" s="57" t="s">
        <v>192</v>
      </c>
      <c r="E200" s="57">
        <v>0</v>
      </c>
      <c r="F200" s="57">
        <v>1.4058999999999999</v>
      </c>
      <c r="G200" s="57">
        <v>0.78</v>
      </c>
      <c r="H200" s="57" t="s">
        <v>191</v>
      </c>
      <c r="I200" s="33">
        <f t="shared" si="0"/>
        <v>0.80243589743589727</v>
      </c>
    </row>
    <row r="201" spans="1:9" x14ac:dyDescent="0.2">
      <c r="A201" s="70">
        <v>44690</v>
      </c>
      <c r="B201" s="57">
        <v>2007</v>
      </c>
      <c r="C201" s="57">
        <v>2</v>
      </c>
      <c r="D201" s="57" t="s">
        <v>192</v>
      </c>
      <c r="E201" s="57">
        <v>0</v>
      </c>
      <c r="F201" s="57">
        <v>0.53</v>
      </c>
      <c r="G201" s="57">
        <v>0.29399999999999998</v>
      </c>
      <c r="I201" s="33">
        <f t="shared" si="0"/>
        <v>0.80272108843537437</v>
      </c>
    </row>
    <row r="202" spans="1:9" x14ac:dyDescent="0.2">
      <c r="A202" s="70">
        <v>44685</v>
      </c>
      <c r="B202" s="57">
        <v>2371</v>
      </c>
      <c r="C202" s="57">
        <v>3</v>
      </c>
      <c r="D202" s="57" t="s">
        <v>192</v>
      </c>
      <c r="E202" s="57">
        <v>0</v>
      </c>
      <c r="F202" s="57">
        <v>0.73370000000000002</v>
      </c>
      <c r="G202" s="57">
        <v>0.40629999999999999</v>
      </c>
      <c r="I202" s="33">
        <f t="shared" si="0"/>
        <v>0.80580851587496927</v>
      </c>
    </row>
    <row r="203" spans="1:9" x14ac:dyDescent="0.2">
      <c r="A203" s="70">
        <v>44704</v>
      </c>
      <c r="B203" s="57">
        <v>2030</v>
      </c>
      <c r="C203" s="57">
        <v>2</v>
      </c>
      <c r="D203" s="57" t="s">
        <v>192</v>
      </c>
      <c r="E203" s="57">
        <v>0</v>
      </c>
      <c r="F203" s="57">
        <v>0.64829999999999999</v>
      </c>
      <c r="G203" s="57">
        <v>0.35899999999999999</v>
      </c>
      <c r="I203" s="33">
        <f t="shared" si="0"/>
        <v>0.80584958217270197</v>
      </c>
    </row>
    <row r="204" spans="1:9" x14ac:dyDescent="0.2">
      <c r="A204" s="70">
        <v>44650</v>
      </c>
      <c r="B204" s="57">
        <v>2352</v>
      </c>
      <c r="C204" s="57">
        <v>3</v>
      </c>
      <c r="D204" s="57" t="s">
        <v>175</v>
      </c>
      <c r="E204" s="57" t="s">
        <v>60</v>
      </c>
      <c r="F204" s="57">
        <v>0.20419999999999999</v>
      </c>
      <c r="G204" s="57">
        <v>0.113</v>
      </c>
      <c r="H204" s="57" t="s">
        <v>191</v>
      </c>
      <c r="I204" s="33">
        <f t="shared" si="0"/>
        <v>0.80707964601769899</v>
      </c>
    </row>
    <row r="205" spans="1:9" x14ac:dyDescent="0.2">
      <c r="A205" s="70">
        <v>44665</v>
      </c>
      <c r="B205" s="57">
        <v>2345</v>
      </c>
      <c r="C205" s="57">
        <v>1</v>
      </c>
      <c r="D205" s="57" t="s">
        <v>175</v>
      </c>
      <c r="E205" s="57">
        <v>1</v>
      </c>
      <c r="F205" s="57">
        <v>0.2122</v>
      </c>
      <c r="G205" s="57">
        <v>0.1174</v>
      </c>
      <c r="H205" s="57" t="s">
        <v>191</v>
      </c>
      <c r="I205" s="33">
        <f t="shared" si="0"/>
        <v>0.80749574105621802</v>
      </c>
    </row>
    <row r="206" spans="1:9" x14ac:dyDescent="0.2">
      <c r="A206" s="70">
        <v>44708</v>
      </c>
      <c r="B206" s="57">
        <v>2093</v>
      </c>
      <c r="C206" s="57">
        <v>3</v>
      </c>
      <c r="D206" s="57" t="s">
        <v>175</v>
      </c>
      <c r="E206" s="57">
        <v>1</v>
      </c>
      <c r="F206" s="57">
        <v>0.311</v>
      </c>
      <c r="G206" s="57">
        <v>0.17199999999999999</v>
      </c>
      <c r="H206" s="57" t="s">
        <v>193</v>
      </c>
      <c r="I206" s="33">
        <f t="shared" si="0"/>
        <v>0.80813953488372103</v>
      </c>
    </row>
    <row r="207" spans="1:9" x14ac:dyDescent="0.2">
      <c r="A207" s="70">
        <v>44704</v>
      </c>
      <c r="B207" s="57">
        <v>2384</v>
      </c>
      <c r="C207" s="57">
        <v>2</v>
      </c>
      <c r="D207" s="57" t="s">
        <v>175</v>
      </c>
      <c r="E207" s="57">
        <v>1</v>
      </c>
      <c r="F207" s="57">
        <v>0.29699999999999999</v>
      </c>
      <c r="G207" s="57">
        <v>0.16420000000000001</v>
      </c>
      <c r="I207" s="33">
        <f t="shared" si="0"/>
        <v>0.80876979293544438</v>
      </c>
    </row>
    <row r="208" spans="1:9" x14ac:dyDescent="0.2">
      <c r="A208" s="70">
        <v>44685</v>
      </c>
      <c r="B208" s="57">
        <v>2331</v>
      </c>
      <c r="C208" s="57">
        <v>2</v>
      </c>
      <c r="D208" s="57" t="s">
        <v>175</v>
      </c>
      <c r="E208" s="57">
        <v>1</v>
      </c>
      <c r="F208" s="57">
        <v>0.2737</v>
      </c>
      <c r="G208" s="57">
        <v>0.15129999999999999</v>
      </c>
      <c r="I208" s="33">
        <f t="shared" si="0"/>
        <v>0.80898876404494391</v>
      </c>
    </row>
    <row r="209" spans="1:9" x14ac:dyDescent="0.2">
      <c r="A209" s="70">
        <v>44708</v>
      </c>
      <c r="B209" s="57">
        <v>2005</v>
      </c>
      <c r="C209" s="57">
        <v>1</v>
      </c>
      <c r="D209" s="57" t="s">
        <v>192</v>
      </c>
      <c r="E209" s="57">
        <v>0</v>
      </c>
      <c r="F209" s="57">
        <v>1.2729999999999999</v>
      </c>
      <c r="G209" s="57">
        <v>0.70299999999999996</v>
      </c>
      <c r="H209" s="57" t="s">
        <v>193</v>
      </c>
      <c r="I209" s="33">
        <f t="shared" si="0"/>
        <v>0.81081081081081074</v>
      </c>
    </row>
    <row r="210" spans="1:9" x14ac:dyDescent="0.2">
      <c r="A210" s="70">
        <v>44708</v>
      </c>
      <c r="B210" s="57">
        <v>2091</v>
      </c>
      <c r="C210" s="57">
        <v>3</v>
      </c>
      <c r="D210" s="57" t="s">
        <v>192</v>
      </c>
      <c r="E210" s="57">
        <v>0</v>
      </c>
      <c r="F210" s="57">
        <v>0.90290000000000004</v>
      </c>
      <c r="G210" s="57">
        <v>0.498</v>
      </c>
      <c r="H210" s="57" t="s">
        <v>193</v>
      </c>
      <c r="I210" s="33">
        <f t="shared" si="0"/>
        <v>0.81305220883534146</v>
      </c>
    </row>
    <row r="211" spans="1:9" x14ac:dyDescent="0.2">
      <c r="A211" s="70">
        <v>44704</v>
      </c>
      <c r="B211" s="57">
        <v>2026</v>
      </c>
      <c r="C211" s="57">
        <v>1</v>
      </c>
      <c r="D211" s="57" t="s">
        <v>192</v>
      </c>
      <c r="E211" s="57">
        <v>0</v>
      </c>
      <c r="F211" s="57">
        <v>0.9103</v>
      </c>
      <c r="G211" s="57">
        <v>0.502</v>
      </c>
      <c r="I211" s="33">
        <f t="shared" si="0"/>
        <v>0.81334661354581672</v>
      </c>
    </row>
    <row r="212" spans="1:9" x14ac:dyDescent="0.2">
      <c r="A212" s="70">
        <v>44650</v>
      </c>
      <c r="B212" s="57">
        <v>2331</v>
      </c>
      <c r="C212" s="57">
        <v>1</v>
      </c>
      <c r="D212" s="57" t="s">
        <v>175</v>
      </c>
      <c r="E212" s="57">
        <v>1</v>
      </c>
      <c r="F212" s="57">
        <v>0.2848</v>
      </c>
      <c r="G212" s="57">
        <v>0.157</v>
      </c>
      <c r="H212" s="57" t="s">
        <v>191</v>
      </c>
      <c r="I212" s="33">
        <f t="shared" si="0"/>
        <v>0.81401273885350311</v>
      </c>
    </row>
    <row r="213" spans="1:9" x14ac:dyDescent="0.2">
      <c r="A213" s="70">
        <v>44708</v>
      </c>
      <c r="B213" s="57">
        <v>2092</v>
      </c>
      <c r="C213" s="57">
        <v>3</v>
      </c>
      <c r="D213" s="57" t="s">
        <v>192</v>
      </c>
      <c r="E213" s="57">
        <v>0</v>
      </c>
      <c r="F213" s="57">
        <v>1.212</v>
      </c>
      <c r="G213" s="57">
        <v>0.66800000000000004</v>
      </c>
      <c r="H213" s="57" t="s">
        <v>193</v>
      </c>
      <c r="I213" s="33">
        <f t="shared" si="0"/>
        <v>0.81437125748502981</v>
      </c>
    </row>
    <row r="214" spans="1:9" x14ac:dyDescent="0.2">
      <c r="A214" s="70">
        <v>44704</v>
      </c>
      <c r="B214" s="57">
        <v>2083</v>
      </c>
      <c r="C214" s="57">
        <v>2</v>
      </c>
      <c r="D214" s="57" t="s">
        <v>175</v>
      </c>
      <c r="E214" s="57">
        <v>1</v>
      </c>
      <c r="F214" s="57">
        <v>9.8000000000000004E-2</v>
      </c>
      <c r="G214" s="57">
        <v>5.3999999999999999E-2</v>
      </c>
      <c r="I214" s="33">
        <f t="shared" si="0"/>
        <v>0.81481481481481488</v>
      </c>
    </row>
    <row r="215" spans="1:9" x14ac:dyDescent="0.2">
      <c r="A215" s="70">
        <v>44704</v>
      </c>
      <c r="B215" s="57">
        <v>2029</v>
      </c>
      <c r="C215" s="57">
        <v>2</v>
      </c>
      <c r="D215" s="57" t="s">
        <v>192</v>
      </c>
      <c r="E215" s="57">
        <v>0</v>
      </c>
      <c r="F215" s="57">
        <v>2.8668</v>
      </c>
      <c r="G215" s="57">
        <v>1.5795999999999999</v>
      </c>
      <c r="I215" s="33">
        <f t="shared" si="0"/>
        <v>0.81488984553051413</v>
      </c>
    </row>
    <row r="216" spans="1:9" x14ac:dyDescent="0.2">
      <c r="A216" s="70">
        <v>44684</v>
      </c>
      <c r="B216" s="57">
        <v>2384</v>
      </c>
      <c r="C216" s="57">
        <v>1</v>
      </c>
      <c r="D216" s="57" t="s">
        <v>192</v>
      </c>
      <c r="E216" s="57">
        <v>0</v>
      </c>
      <c r="F216" s="57">
        <v>1.0125999999999999</v>
      </c>
      <c r="G216" s="57">
        <v>0.55779999999999996</v>
      </c>
      <c r="H216" s="57" t="s">
        <v>196</v>
      </c>
      <c r="I216" s="33">
        <f t="shared" si="0"/>
        <v>0.8153460021513087</v>
      </c>
    </row>
    <row r="217" spans="1:9" x14ac:dyDescent="0.2">
      <c r="A217" s="70">
        <v>44704</v>
      </c>
      <c r="B217" s="57">
        <v>2083</v>
      </c>
      <c r="C217" s="57">
        <v>1</v>
      </c>
      <c r="D217" s="57" t="s">
        <v>175</v>
      </c>
      <c r="E217" s="57">
        <v>1</v>
      </c>
      <c r="F217" s="57">
        <v>0.35039999999999999</v>
      </c>
      <c r="G217" s="57">
        <v>0.193</v>
      </c>
      <c r="I217" s="33">
        <f t="shared" si="0"/>
        <v>0.81554404145077708</v>
      </c>
    </row>
    <row r="218" spans="1:9" x14ac:dyDescent="0.2">
      <c r="A218" s="70">
        <v>44685</v>
      </c>
      <c r="B218" s="57">
        <v>2379</v>
      </c>
      <c r="C218" s="57">
        <v>1</v>
      </c>
      <c r="D218" s="57" t="s">
        <v>175</v>
      </c>
      <c r="E218" s="57">
        <v>1</v>
      </c>
      <c r="F218" s="57">
        <v>0.31019999999999998</v>
      </c>
      <c r="G218" s="57">
        <v>0.17080000000000001</v>
      </c>
      <c r="I218" s="33">
        <f t="shared" si="0"/>
        <v>0.81615925058547989</v>
      </c>
    </row>
    <row r="219" spans="1:9" x14ac:dyDescent="0.2">
      <c r="A219" s="70">
        <v>44684</v>
      </c>
      <c r="B219" s="57">
        <v>2364</v>
      </c>
      <c r="C219" s="57">
        <v>2</v>
      </c>
      <c r="D219" s="57" t="s">
        <v>175</v>
      </c>
      <c r="E219" s="57">
        <v>1</v>
      </c>
      <c r="F219" s="57">
        <v>0.15459999999999999</v>
      </c>
      <c r="G219" s="57">
        <v>8.5099999999999995E-2</v>
      </c>
      <c r="H219" s="57" t="s">
        <v>196</v>
      </c>
      <c r="I219" s="33">
        <f t="shared" si="0"/>
        <v>0.81668625146886009</v>
      </c>
    </row>
    <row r="220" spans="1:9" x14ac:dyDescent="0.2">
      <c r="A220" s="70">
        <v>44684</v>
      </c>
      <c r="B220" s="57">
        <v>2382</v>
      </c>
      <c r="C220" s="57">
        <v>2</v>
      </c>
      <c r="D220" s="57" t="s">
        <v>192</v>
      </c>
      <c r="E220" s="57">
        <v>0</v>
      </c>
      <c r="F220" s="57">
        <v>1.7716000000000001</v>
      </c>
      <c r="G220" s="57">
        <v>0.97470000000000001</v>
      </c>
      <c r="H220" s="57" t="s">
        <v>196</v>
      </c>
      <c r="I220" s="33">
        <f t="shared" si="0"/>
        <v>0.81758489791730793</v>
      </c>
    </row>
    <row r="221" spans="1:9" x14ac:dyDescent="0.2">
      <c r="A221" s="70">
        <v>44690</v>
      </c>
      <c r="B221" s="57">
        <v>2092</v>
      </c>
      <c r="C221" s="57">
        <v>1</v>
      </c>
      <c r="D221" s="57" t="s">
        <v>175</v>
      </c>
      <c r="E221" s="57">
        <v>1</v>
      </c>
      <c r="F221" s="57">
        <v>8.1799999999999998E-2</v>
      </c>
      <c r="G221" s="57">
        <v>4.4999999999999998E-2</v>
      </c>
      <c r="I221" s="33">
        <f t="shared" si="0"/>
        <v>0.81777777777777783</v>
      </c>
    </row>
    <row r="222" spans="1:9" x14ac:dyDescent="0.2">
      <c r="A222" s="70">
        <v>44706</v>
      </c>
      <c r="B222" s="57">
        <v>2380</v>
      </c>
      <c r="C222" s="57">
        <v>2</v>
      </c>
      <c r="D222" s="57" t="s">
        <v>192</v>
      </c>
      <c r="E222" s="57">
        <v>0</v>
      </c>
      <c r="F222" s="57">
        <v>0.02</v>
      </c>
      <c r="G222" s="57">
        <v>1.0999999999999999E-2</v>
      </c>
      <c r="H222" s="57" t="s">
        <v>193</v>
      </c>
      <c r="I222" s="33">
        <f t="shared" si="0"/>
        <v>0.81818181818181834</v>
      </c>
    </row>
    <row r="223" spans="1:9" x14ac:dyDescent="0.2">
      <c r="A223" s="70">
        <v>44704</v>
      </c>
      <c r="B223" s="57">
        <v>2083</v>
      </c>
      <c r="C223" s="57">
        <v>1</v>
      </c>
      <c r="D223" s="57" t="s">
        <v>192</v>
      </c>
      <c r="E223" s="57">
        <v>0</v>
      </c>
      <c r="F223" s="57">
        <v>1.5564</v>
      </c>
      <c r="G223" s="57">
        <v>0.85599999999999998</v>
      </c>
      <c r="I223" s="33">
        <f t="shared" si="0"/>
        <v>0.8182242990654206</v>
      </c>
    </row>
    <row r="224" spans="1:9" x14ac:dyDescent="0.2">
      <c r="A224" s="70">
        <v>44684</v>
      </c>
      <c r="B224" s="57">
        <v>2369</v>
      </c>
      <c r="C224" s="57">
        <v>3</v>
      </c>
      <c r="D224" s="57" t="s">
        <v>175</v>
      </c>
      <c r="E224" s="57">
        <v>1</v>
      </c>
      <c r="F224" s="57">
        <v>9.8199999999999996E-2</v>
      </c>
      <c r="G224" s="57">
        <v>5.3999999999999999E-2</v>
      </c>
      <c r="H224" s="57" t="s">
        <v>196</v>
      </c>
      <c r="I224" s="33">
        <f t="shared" si="0"/>
        <v>0.81851851851851842</v>
      </c>
    </row>
    <row r="225" spans="1:9" x14ac:dyDescent="0.2">
      <c r="A225" s="70">
        <v>44704</v>
      </c>
      <c r="B225" s="57">
        <v>2384</v>
      </c>
      <c r="C225" s="57">
        <v>2</v>
      </c>
      <c r="D225" s="57" t="s">
        <v>192</v>
      </c>
      <c r="E225" s="57">
        <v>0</v>
      </c>
      <c r="F225" s="57">
        <v>0.94879999999999998</v>
      </c>
      <c r="G225" s="57">
        <v>0.52139999999999997</v>
      </c>
      <c r="I225" s="33">
        <f t="shared" si="0"/>
        <v>0.81971614883007293</v>
      </c>
    </row>
    <row r="226" spans="1:9" x14ac:dyDescent="0.2">
      <c r="A226" s="70">
        <v>44690</v>
      </c>
      <c r="B226" s="57">
        <v>2022</v>
      </c>
      <c r="C226" s="57">
        <v>3</v>
      </c>
      <c r="D226" s="57" t="s">
        <v>192</v>
      </c>
      <c r="E226" s="57">
        <v>1</v>
      </c>
      <c r="F226" s="57">
        <v>1.29</v>
      </c>
      <c r="G226" s="57">
        <v>0.70860000000000001</v>
      </c>
      <c r="I226" s="33">
        <f t="shared" si="0"/>
        <v>0.82049110922946655</v>
      </c>
    </row>
    <row r="227" spans="1:9" x14ac:dyDescent="0.2">
      <c r="A227" s="70">
        <v>44704</v>
      </c>
      <c r="B227" s="57">
        <v>2029</v>
      </c>
      <c r="C227" s="57">
        <v>2</v>
      </c>
      <c r="D227" s="57" t="s">
        <v>175</v>
      </c>
      <c r="E227" s="57">
        <v>1</v>
      </c>
      <c r="F227" s="57">
        <v>0.32590000000000002</v>
      </c>
      <c r="G227" s="57">
        <v>0.17899999999999999</v>
      </c>
      <c r="I227" s="33">
        <f t="shared" si="0"/>
        <v>0.82067039106145268</v>
      </c>
    </row>
    <row r="228" spans="1:9" x14ac:dyDescent="0.2">
      <c r="A228" s="70">
        <v>44706</v>
      </c>
      <c r="B228" s="57">
        <v>2372</v>
      </c>
      <c r="C228" s="57">
        <v>3</v>
      </c>
      <c r="D228" s="57" t="s">
        <v>175</v>
      </c>
      <c r="E228" s="57">
        <v>1</v>
      </c>
      <c r="F228" s="57">
        <v>0.3296</v>
      </c>
      <c r="G228" s="57">
        <v>0.18099999999999999</v>
      </c>
      <c r="H228" s="57" t="s">
        <v>193</v>
      </c>
      <c r="I228" s="33">
        <f t="shared" si="0"/>
        <v>0.82099447513812163</v>
      </c>
    </row>
    <row r="229" spans="1:9" x14ac:dyDescent="0.2">
      <c r="A229" s="70">
        <v>44708</v>
      </c>
      <c r="B229" s="57">
        <v>2012</v>
      </c>
      <c r="C229" s="57">
        <v>3</v>
      </c>
      <c r="D229" s="57" t="s">
        <v>192</v>
      </c>
      <c r="E229" s="57">
        <v>0</v>
      </c>
      <c r="F229" s="57">
        <v>0.17299999999999999</v>
      </c>
      <c r="G229" s="57">
        <v>9.5000000000000001E-2</v>
      </c>
      <c r="H229" s="57" t="s">
        <v>193</v>
      </c>
      <c r="I229" s="33">
        <f t="shared" si="0"/>
        <v>0.82105263157894726</v>
      </c>
    </row>
    <row r="230" spans="1:9" x14ac:dyDescent="0.2">
      <c r="A230" s="70">
        <v>44685</v>
      </c>
      <c r="B230" s="57">
        <v>2360</v>
      </c>
      <c r="C230" s="57">
        <v>2</v>
      </c>
      <c r="D230" s="57" t="s">
        <v>175</v>
      </c>
      <c r="E230" s="57">
        <v>1</v>
      </c>
      <c r="F230" s="57">
        <v>0.2772</v>
      </c>
      <c r="G230" s="57">
        <v>0.1522</v>
      </c>
      <c r="I230" s="33">
        <f t="shared" si="0"/>
        <v>0.82128777923784491</v>
      </c>
    </row>
    <row r="231" spans="1:9" x14ac:dyDescent="0.2">
      <c r="A231" s="70">
        <v>44708</v>
      </c>
      <c r="B231" s="57">
        <v>2015</v>
      </c>
      <c r="C231" s="57">
        <v>3</v>
      </c>
      <c r="D231" s="57" t="s">
        <v>192</v>
      </c>
      <c r="E231" s="57">
        <v>0</v>
      </c>
      <c r="F231" s="57">
        <v>0.53</v>
      </c>
      <c r="G231" s="57">
        <v>0.29099999999999998</v>
      </c>
      <c r="H231" s="57" t="s">
        <v>193</v>
      </c>
      <c r="I231" s="33">
        <f t="shared" si="0"/>
        <v>0.82130584192439882</v>
      </c>
    </row>
    <row r="232" spans="1:9" x14ac:dyDescent="0.2">
      <c r="A232" s="70">
        <v>44665</v>
      </c>
      <c r="B232" s="57">
        <v>2012</v>
      </c>
      <c r="C232" s="57">
        <v>1</v>
      </c>
      <c r="D232" s="57" t="s">
        <v>175</v>
      </c>
      <c r="E232" s="57">
        <v>1</v>
      </c>
      <c r="F232" s="57">
        <v>0.46029999999999999</v>
      </c>
      <c r="G232" s="57">
        <v>0.25269999999999998</v>
      </c>
      <c r="H232" s="57" t="s">
        <v>191</v>
      </c>
      <c r="I232" s="33">
        <f t="shared" si="0"/>
        <v>0.8215275029679463</v>
      </c>
    </row>
    <row r="233" spans="1:9" x14ac:dyDescent="0.2">
      <c r="A233" s="70">
        <v>44684</v>
      </c>
      <c r="B233" s="57">
        <v>2382</v>
      </c>
      <c r="C233" s="57">
        <v>3</v>
      </c>
      <c r="D233" s="57" t="s">
        <v>192</v>
      </c>
      <c r="E233" s="57">
        <v>0</v>
      </c>
      <c r="F233" s="57">
        <v>0.72929999999999995</v>
      </c>
      <c r="G233" s="57">
        <v>0.39989999999999998</v>
      </c>
      <c r="H233" s="57" t="s">
        <v>196</v>
      </c>
      <c r="I233" s="33">
        <f t="shared" si="0"/>
        <v>0.82370592648162033</v>
      </c>
    </row>
    <row r="234" spans="1:9" x14ac:dyDescent="0.2">
      <c r="A234" s="70">
        <v>44684</v>
      </c>
      <c r="B234" s="57">
        <v>2364</v>
      </c>
      <c r="C234" s="57">
        <v>1</v>
      </c>
      <c r="D234" s="57" t="s">
        <v>175</v>
      </c>
      <c r="E234" s="57">
        <v>1</v>
      </c>
      <c r="F234" s="57">
        <v>1.0405</v>
      </c>
      <c r="G234" s="57">
        <v>0.57040000000000002</v>
      </c>
      <c r="H234" s="57" t="s">
        <v>196</v>
      </c>
      <c r="I234" s="33">
        <f t="shared" si="0"/>
        <v>0.82415848527349223</v>
      </c>
    </row>
    <row r="235" spans="1:9" x14ac:dyDescent="0.2">
      <c r="A235" s="70">
        <v>44685</v>
      </c>
      <c r="B235" s="57">
        <v>2360</v>
      </c>
      <c r="C235" s="57">
        <v>1</v>
      </c>
      <c r="D235" s="57" t="s">
        <v>175</v>
      </c>
      <c r="E235" s="57">
        <v>1</v>
      </c>
      <c r="F235" s="57">
        <v>0.11</v>
      </c>
      <c r="G235" s="57">
        <v>6.0299999999999999E-2</v>
      </c>
      <c r="I235" s="33">
        <f t="shared" si="0"/>
        <v>0.82421227197346603</v>
      </c>
    </row>
    <row r="236" spans="1:9" x14ac:dyDescent="0.2">
      <c r="A236" s="70">
        <v>44704</v>
      </c>
      <c r="B236" s="57">
        <v>2384</v>
      </c>
      <c r="C236" s="57">
        <v>1</v>
      </c>
      <c r="D236" s="57" t="s">
        <v>175</v>
      </c>
      <c r="E236" s="57">
        <v>1</v>
      </c>
      <c r="F236" s="57">
        <v>0.20380000000000001</v>
      </c>
      <c r="G236" s="57">
        <v>0.1116</v>
      </c>
      <c r="I236" s="33">
        <f t="shared" si="0"/>
        <v>0.8261648745519713</v>
      </c>
    </row>
    <row r="237" spans="1:9" x14ac:dyDescent="0.2">
      <c r="A237" s="70">
        <v>44708</v>
      </c>
      <c r="B237" s="57">
        <v>2012</v>
      </c>
      <c r="C237" s="57">
        <v>2</v>
      </c>
      <c r="D237" s="57" t="s">
        <v>192</v>
      </c>
      <c r="E237" s="57">
        <v>0</v>
      </c>
      <c r="F237" s="57">
        <v>0.61</v>
      </c>
      <c r="G237" s="57">
        <v>0.33400000000000002</v>
      </c>
      <c r="H237" s="57" t="s">
        <v>193</v>
      </c>
      <c r="I237" s="33">
        <f t="shared" si="0"/>
        <v>0.82634730538922141</v>
      </c>
    </row>
    <row r="238" spans="1:9" x14ac:dyDescent="0.2">
      <c r="A238" s="70">
        <v>44685</v>
      </c>
      <c r="B238" s="57">
        <v>2345</v>
      </c>
      <c r="C238" s="57">
        <v>1</v>
      </c>
      <c r="D238" s="57" t="s">
        <v>175</v>
      </c>
      <c r="E238" s="57">
        <v>1</v>
      </c>
      <c r="F238" s="57">
        <v>0.31419999999999998</v>
      </c>
      <c r="G238" s="57">
        <v>0.1719</v>
      </c>
      <c r="I238" s="33">
        <f t="shared" si="0"/>
        <v>0.82780686445607898</v>
      </c>
    </row>
    <row r="239" spans="1:9" x14ac:dyDescent="0.2">
      <c r="A239" s="70">
        <v>44704</v>
      </c>
      <c r="B239" s="57">
        <v>2022</v>
      </c>
      <c r="C239" s="57">
        <v>3</v>
      </c>
      <c r="D239" s="57" t="s">
        <v>192</v>
      </c>
      <c r="E239" s="57">
        <v>0</v>
      </c>
      <c r="F239" s="57">
        <v>0.4113</v>
      </c>
      <c r="G239" s="57">
        <v>0.22500000000000001</v>
      </c>
      <c r="I239" s="33">
        <f t="shared" si="0"/>
        <v>0.82799999999999996</v>
      </c>
    </row>
    <row r="240" spans="1:9" x14ac:dyDescent="0.2">
      <c r="A240" s="70">
        <v>44684</v>
      </c>
      <c r="B240" s="57">
        <v>2384</v>
      </c>
      <c r="C240" s="57">
        <v>2</v>
      </c>
      <c r="D240" s="57" t="s">
        <v>192</v>
      </c>
      <c r="E240" s="57">
        <v>0</v>
      </c>
      <c r="F240" s="57">
        <v>0.73309999999999997</v>
      </c>
      <c r="G240" s="57">
        <v>0.40100000000000002</v>
      </c>
      <c r="H240" s="57" t="s">
        <v>196</v>
      </c>
      <c r="I240" s="33">
        <f t="shared" si="0"/>
        <v>0.82817955112219432</v>
      </c>
    </row>
    <row r="241" spans="1:9" x14ac:dyDescent="0.2">
      <c r="A241" s="70">
        <v>44708</v>
      </c>
      <c r="B241" s="57">
        <v>2089</v>
      </c>
      <c r="C241" s="57">
        <v>1</v>
      </c>
      <c r="D241" s="57" t="s">
        <v>192</v>
      </c>
      <c r="E241" s="57">
        <v>0</v>
      </c>
      <c r="F241" s="57">
        <v>3.2309999999999999</v>
      </c>
      <c r="G241" s="57">
        <v>1.766</v>
      </c>
      <c r="H241" s="57" t="s">
        <v>193</v>
      </c>
      <c r="I241" s="33">
        <f t="shared" si="0"/>
        <v>0.82955832389580964</v>
      </c>
    </row>
    <row r="242" spans="1:9" x14ac:dyDescent="0.2">
      <c r="A242" s="70">
        <v>44650</v>
      </c>
      <c r="B242" s="57">
        <v>2331</v>
      </c>
      <c r="C242" s="57">
        <v>2</v>
      </c>
      <c r="D242" s="57" t="s">
        <v>175</v>
      </c>
      <c r="E242" s="57" t="s">
        <v>60</v>
      </c>
      <c r="F242" s="57">
        <v>0.37169999999999997</v>
      </c>
      <c r="G242" s="57">
        <v>0.20300000000000001</v>
      </c>
      <c r="H242" s="57" t="s">
        <v>191</v>
      </c>
      <c r="I242" s="33">
        <f t="shared" si="0"/>
        <v>0.83103448275862046</v>
      </c>
    </row>
    <row r="243" spans="1:9" x14ac:dyDescent="0.2">
      <c r="A243" s="70">
        <v>44684</v>
      </c>
      <c r="B243" s="57">
        <v>2382</v>
      </c>
      <c r="C243" s="57">
        <v>1</v>
      </c>
      <c r="D243" s="57" t="s">
        <v>175</v>
      </c>
      <c r="E243" s="57">
        <v>1</v>
      </c>
      <c r="F243" s="57">
        <v>0.35270000000000001</v>
      </c>
      <c r="G243" s="57">
        <v>0.19259999999999999</v>
      </c>
      <c r="H243" s="57" t="s">
        <v>196</v>
      </c>
      <c r="I243" s="33">
        <f t="shared" si="0"/>
        <v>0.83125649013499492</v>
      </c>
    </row>
    <row r="244" spans="1:9" x14ac:dyDescent="0.2">
      <c r="A244" s="70">
        <v>44665</v>
      </c>
      <c r="B244" s="57">
        <v>2380</v>
      </c>
      <c r="C244" s="57">
        <v>2</v>
      </c>
      <c r="D244" s="57" t="s">
        <v>175</v>
      </c>
      <c r="E244" s="57">
        <v>1</v>
      </c>
      <c r="F244" s="57">
        <v>0.16639999999999999</v>
      </c>
      <c r="G244" s="57">
        <v>9.0800000000000006E-2</v>
      </c>
      <c r="H244" s="57" t="s">
        <v>191</v>
      </c>
      <c r="I244" s="33">
        <f t="shared" si="0"/>
        <v>0.83259911894273109</v>
      </c>
    </row>
    <row r="245" spans="1:9" x14ac:dyDescent="0.2">
      <c r="A245" s="70">
        <v>44690</v>
      </c>
      <c r="B245" s="57">
        <v>2022</v>
      </c>
      <c r="C245" s="57">
        <v>1</v>
      </c>
      <c r="D245" s="57" t="s">
        <v>192</v>
      </c>
      <c r="E245" s="57">
        <v>1</v>
      </c>
      <c r="F245" s="57">
        <v>0.38869999999999999</v>
      </c>
      <c r="G245" s="57">
        <v>0.21210000000000001</v>
      </c>
      <c r="I245" s="33">
        <f t="shared" si="0"/>
        <v>0.83262611975483247</v>
      </c>
    </row>
    <row r="246" spans="1:9" x14ac:dyDescent="0.2">
      <c r="A246" s="70">
        <v>44704</v>
      </c>
      <c r="B246" s="57">
        <v>2384</v>
      </c>
      <c r="C246" s="57">
        <v>1</v>
      </c>
      <c r="D246" s="57" t="s">
        <v>192</v>
      </c>
      <c r="E246" s="57">
        <v>0</v>
      </c>
      <c r="F246" s="57">
        <v>1.0302</v>
      </c>
      <c r="G246" s="57">
        <v>0.56200000000000006</v>
      </c>
      <c r="I246" s="33">
        <f t="shared" si="0"/>
        <v>0.83309608540925251</v>
      </c>
    </row>
    <row r="247" spans="1:9" x14ac:dyDescent="0.2">
      <c r="A247" s="70">
        <v>44690</v>
      </c>
      <c r="B247" s="57">
        <v>2089</v>
      </c>
      <c r="C247" s="57">
        <v>2</v>
      </c>
      <c r="D247" s="57" t="s">
        <v>192</v>
      </c>
      <c r="E247" s="57">
        <v>0</v>
      </c>
      <c r="F247" s="57">
        <v>0.88590000000000002</v>
      </c>
      <c r="G247" s="57">
        <v>0.48299999999999998</v>
      </c>
      <c r="I247" s="33">
        <f t="shared" si="0"/>
        <v>0.83416149068322987</v>
      </c>
    </row>
    <row r="248" spans="1:9" x14ac:dyDescent="0.2">
      <c r="A248" s="70">
        <v>44684</v>
      </c>
      <c r="B248" s="57">
        <v>2382</v>
      </c>
      <c r="C248" s="57">
        <v>3</v>
      </c>
      <c r="D248" s="57" t="s">
        <v>175</v>
      </c>
      <c r="E248" s="57">
        <v>1</v>
      </c>
      <c r="F248" s="57">
        <v>5.8700000000000002E-2</v>
      </c>
      <c r="G248" s="57">
        <v>3.2000000000000001E-2</v>
      </c>
      <c r="H248" s="57" t="s">
        <v>196</v>
      </c>
      <c r="I248" s="33">
        <f t="shared" si="0"/>
        <v>0.83437499999999998</v>
      </c>
    </row>
    <row r="249" spans="1:9" x14ac:dyDescent="0.2">
      <c r="A249" s="70">
        <v>44685</v>
      </c>
      <c r="B249" s="57">
        <v>2331</v>
      </c>
      <c r="C249" s="57">
        <v>2</v>
      </c>
      <c r="D249" s="57" t="s">
        <v>192</v>
      </c>
      <c r="E249" s="57">
        <v>0</v>
      </c>
      <c r="F249" s="57">
        <v>0.19600000000000001</v>
      </c>
      <c r="G249" s="57">
        <v>0.10680000000000001</v>
      </c>
      <c r="I249" s="33">
        <f t="shared" si="0"/>
        <v>0.83520599250936323</v>
      </c>
    </row>
    <row r="250" spans="1:9" x14ac:dyDescent="0.2">
      <c r="A250" s="70">
        <v>44708</v>
      </c>
      <c r="B250" s="57">
        <v>2089</v>
      </c>
      <c r="C250" s="57">
        <v>3</v>
      </c>
      <c r="D250" s="57" t="s">
        <v>192</v>
      </c>
      <c r="E250" s="57">
        <v>0</v>
      </c>
      <c r="F250" s="57">
        <v>0.96899999999999997</v>
      </c>
      <c r="G250" s="57">
        <v>0.52800000000000002</v>
      </c>
      <c r="H250" s="57" t="s">
        <v>193</v>
      </c>
      <c r="I250" s="33">
        <f t="shared" si="0"/>
        <v>0.8352272727272726</v>
      </c>
    </row>
    <row r="251" spans="1:9" x14ac:dyDescent="0.2">
      <c r="A251" s="70">
        <v>44684</v>
      </c>
      <c r="B251" s="57">
        <v>2382</v>
      </c>
      <c r="C251" s="57">
        <v>2</v>
      </c>
      <c r="D251" s="57" t="s">
        <v>175</v>
      </c>
      <c r="E251" s="57">
        <v>1</v>
      </c>
      <c r="F251" s="57">
        <v>0.4173</v>
      </c>
      <c r="G251" s="57">
        <v>0.22720000000000001</v>
      </c>
      <c r="H251" s="57" t="s">
        <v>196</v>
      </c>
      <c r="I251" s="33">
        <f t="shared" si="0"/>
        <v>0.83670774647887314</v>
      </c>
    </row>
    <row r="252" spans="1:9" x14ac:dyDescent="0.2">
      <c r="A252" s="70">
        <v>44704</v>
      </c>
      <c r="B252" s="57">
        <v>2027</v>
      </c>
      <c r="C252" s="57">
        <v>1</v>
      </c>
      <c r="D252" s="57" t="s">
        <v>175</v>
      </c>
      <c r="E252" s="57">
        <v>1</v>
      </c>
      <c r="F252" s="57">
        <v>0.28860000000000002</v>
      </c>
      <c r="G252" s="57">
        <v>0.15709999999999999</v>
      </c>
      <c r="I252" s="33">
        <f t="shared" si="0"/>
        <v>0.83704646721833253</v>
      </c>
    </row>
    <row r="253" spans="1:9" x14ac:dyDescent="0.2">
      <c r="A253" s="70">
        <v>44706</v>
      </c>
      <c r="B253" s="57">
        <v>2331</v>
      </c>
      <c r="C253" s="57">
        <v>2</v>
      </c>
      <c r="D253" s="57" t="s">
        <v>192</v>
      </c>
      <c r="E253" s="57">
        <v>0</v>
      </c>
      <c r="F253" s="57">
        <v>1.1281000000000001</v>
      </c>
      <c r="G253" s="57">
        <v>0.61399999999999999</v>
      </c>
      <c r="H253" s="57" t="s">
        <v>193</v>
      </c>
      <c r="I253" s="33">
        <f t="shared" si="0"/>
        <v>0.83729641693811097</v>
      </c>
    </row>
    <row r="254" spans="1:9" x14ac:dyDescent="0.2">
      <c r="A254" s="70">
        <v>44708</v>
      </c>
      <c r="B254" s="57">
        <v>2012</v>
      </c>
      <c r="C254" s="57">
        <v>1</v>
      </c>
      <c r="D254" s="57" t="s">
        <v>192</v>
      </c>
      <c r="E254" s="57">
        <v>0</v>
      </c>
      <c r="F254" s="57">
        <v>0.52200000000000002</v>
      </c>
      <c r="G254" s="57">
        <v>0.28399999999999997</v>
      </c>
      <c r="H254" s="57" t="s">
        <v>193</v>
      </c>
      <c r="I254" s="33">
        <f t="shared" si="0"/>
        <v>0.83802816901408472</v>
      </c>
    </row>
    <row r="255" spans="1:9" x14ac:dyDescent="0.2">
      <c r="A255" s="70">
        <v>44685</v>
      </c>
      <c r="B255" s="57">
        <v>2379</v>
      </c>
      <c r="C255" s="57">
        <v>2</v>
      </c>
      <c r="D255" s="57" t="s">
        <v>175</v>
      </c>
      <c r="E255" s="57">
        <v>1</v>
      </c>
      <c r="F255" s="57">
        <v>0.40210000000000001</v>
      </c>
      <c r="G255" s="57">
        <v>0.21870000000000001</v>
      </c>
      <c r="I255" s="33">
        <f t="shared" si="0"/>
        <v>0.83859167809785096</v>
      </c>
    </row>
    <row r="256" spans="1:9" x14ac:dyDescent="0.2">
      <c r="A256" s="70">
        <v>44665</v>
      </c>
      <c r="B256" s="57">
        <v>2384</v>
      </c>
      <c r="C256" s="57">
        <v>3</v>
      </c>
      <c r="D256" s="57" t="s">
        <v>175</v>
      </c>
      <c r="E256" s="57">
        <v>1</v>
      </c>
      <c r="F256" s="57">
        <v>0.1061</v>
      </c>
      <c r="G256" s="57">
        <v>5.7700000000000001E-2</v>
      </c>
      <c r="H256" s="57" t="s">
        <v>191</v>
      </c>
      <c r="I256" s="33">
        <f t="shared" si="0"/>
        <v>0.83882149046793753</v>
      </c>
    </row>
    <row r="257" spans="1:9" x14ac:dyDescent="0.2">
      <c r="A257" s="70">
        <v>44708</v>
      </c>
      <c r="B257" s="57">
        <v>2091</v>
      </c>
      <c r="C257" s="57">
        <v>3</v>
      </c>
      <c r="D257" s="57" t="s">
        <v>175</v>
      </c>
      <c r="E257" s="57">
        <v>1</v>
      </c>
      <c r="F257" s="57">
        <v>1.1274999999999999</v>
      </c>
      <c r="G257" s="57">
        <v>0.61299999999999999</v>
      </c>
      <c r="H257" s="57" t="s">
        <v>193</v>
      </c>
      <c r="I257" s="33">
        <f t="shared" ref="I257:I511" si="1">((F257-G257)/G257)</f>
        <v>0.83931484502446974</v>
      </c>
    </row>
    <row r="258" spans="1:9" x14ac:dyDescent="0.2">
      <c r="A258" s="70">
        <v>44684</v>
      </c>
      <c r="B258" s="57">
        <v>2382</v>
      </c>
      <c r="C258" s="57">
        <v>1</v>
      </c>
      <c r="D258" s="57" t="s">
        <v>192</v>
      </c>
      <c r="E258" s="57">
        <v>0</v>
      </c>
      <c r="F258" s="57">
        <v>1.8023</v>
      </c>
      <c r="G258" s="57">
        <v>0.9798</v>
      </c>
      <c r="H258" s="57" t="s">
        <v>196</v>
      </c>
      <c r="I258" s="33">
        <f t="shared" si="1"/>
        <v>0.83945703204735656</v>
      </c>
    </row>
    <row r="259" spans="1:9" x14ac:dyDescent="0.2">
      <c r="A259" s="70">
        <v>44708</v>
      </c>
      <c r="B259" s="57">
        <v>2005</v>
      </c>
      <c r="C259" s="57">
        <v>3</v>
      </c>
      <c r="D259" s="57" t="s">
        <v>192</v>
      </c>
      <c r="E259" s="57">
        <v>0</v>
      </c>
      <c r="F259" s="57">
        <v>0.56299999999999994</v>
      </c>
      <c r="G259" s="57">
        <v>0.30599999999999999</v>
      </c>
      <c r="H259" s="57" t="s">
        <v>193</v>
      </c>
      <c r="I259" s="33">
        <f t="shared" si="1"/>
        <v>0.83986928104575154</v>
      </c>
    </row>
    <row r="260" spans="1:9" x14ac:dyDescent="0.2">
      <c r="A260" s="70">
        <v>44706</v>
      </c>
      <c r="B260" s="57">
        <v>2023</v>
      </c>
      <c r="C260" s="57">
        <v>2</v>
      </c>
      <c r="D260" s="57" t="s">
        <v>175</v>
      </c>
      <c r="E260" s="57">
        <v>1</v>
      </c>
      <c r="F260" s="57">
        <v>0.41399999999999998</v>
      </c>
      <c r="G260" s="57">
        <v>0.22500000000000001</v>
      </c>
      <c r="H260" s="57" t="s">
        <v>193</v>
      </c>
      <c r="I260" s="33">
        <f t="shared" si="1"/>
        <v>0.83999999999999986</v>
      </c>
    </row>
    <row r="261" spans="1:9" x14ac:dyDescent="0.2">
      <c r="A261" s="70">
        <v>44662</v>
      </c>
      <c r="B261" s="57">
        <v>2092</v>
      </c>
      <c r="C261" s="57">
        <v>1</v>
      </c>
      <c r="D261" s="57" t="s">
        <v>192</v>
      </c>
      <c r="E261" s="57">
        <v>1</v>
      </c>
      <c r="F261" s="57">
        <v>3.8794</v>
      </c>
      <c r="G261" s="57">
        <v>2.1080000000000001</v>
      </c>
      <c r="H261" s="57" t="s">
        <v>191</v>
      </c>
      <c r="I261" s="33">
        <f t="shared" si="1"/>
        <v>0.84032258064516119</v>
      </c>
    </row>
    <row r="262" spans="1:9" x14ac:dyDescent="0.2">
      <c r="A262" s="70">
        <v>44706</v>
      </c>
      <c r="B262" s="57">
        <v>2345</v>
      </c>
      <c r="C262" s="57">
        <v>2</v>
      </c>
      <c r="D262" s="57" t="s">
        <v>175</v>
      </c>
      <c r="E262" s="57">
        <v>1</v>
      </c>
      <c r="F262" s="57">
        <v>0.26319999999999999</v>
      </c>
      <c r="G262" s="57">
        <v>0.14299999999999999</v>
      </c>
      <c r="H262" s="57" t="s">
        <v>193</v>
      </c>
      <c r="I262" s="33">
        <f t="shared" si="1"/>
        <v>0.84055944055944065</v>
      </c>
    </row>
    <row r="263" spans="1:9" x14ac:dyDescent="0.2">
      <c r="A263" s="70">
        <v>44684</v>
      </c>
      <c r="B263" s="57">
        <v>2010</v>
      </c>
      <c r="C263" s="57">
        <v>3</v>
      </c>
      <c r="D263" s="57" t="s">
        <v>175</v>
      </c>
      <c r="E263" s="57">
        <v>1</v>
      </c>
      <c r="F263" s="57">
        <v>0.2281</v>
      </c>
      <c r="G263" s="57">
        <v>0.1239</v>
      </c>
      <c r="H263" s="57" t="s">
        <v>196</v>
      </c>
      <c r="I263" s="33">
        <f t="shared" si="1"/>
        <v>0.84100080710250202</v>
      </c>
    </row>
    <row r="264" spans="1:9" x14ac:dyDescent="0.2">
      <c r="A264" s="70">
        <v>44704</v>
      </c>
      <c r="B264" s="57">
        <v>2354</v>
      </c>
      <c r="C264" s="57">
        <v>3</v>
      </c>
      <c r="D264" s="57" t="s">
        <v>175</v>
      </c>
      <c r="E264" s="57">
        <v>1</v>
      </c>
      <c r="F264" s="57">
        <v>0.31609999999999999</v>
      </c>
      <c r="G264" s="57">
        <v>0.17150000000000001</v>
      </c>
      <c r="I264" s="33">
        <f t="shared" si="1"/>
        <v>0.843148688046647</v>
      </c>
    </row>
    <row r="265" spans="1:9" x14ac:dyDescent="0.2">
      <c r="A265" s="70">
        <v>44704</v>
      </c>
      <c r="B265" s="57">
        <v>2354</v>
      </c>
      <c r="C265" s="57">
        <v>2</v>
      </c>
      <c r="D265" s="57" t="s">
        <v>175</v>
      </c>
      <c r="E265" s="57">
        <v>1</v>
      </c>
      <c r="F265" s="57">
        <v>0.30049999999999999</v>
      </c>
      <c r="G265" s="57">
        <v>0.16300000000000001</v>
      </c>
      <c r="I265" s="33">
        <f t="shared" si="1"/>
        <v>0.84355828220858886</v>
      </c>
    </row>
    <row r="266" spans="1:9" x14ac:dyDescent="0.2">
      <c r="A266" s="70">
        <v>44708</v>
      </c>
      <c r="B266" s="57">
        <v>2093</v>
      </c>
      <c r="C266" s="57">
        <v>2</v>
      </c>
      <c r="D266" s="57" t="s">
        <v>175</v>
      </c>
      <c r="E266" s="57">
        <v>1</v>
      </c>
      <c r="F266" s="57">
        <v>8.3000000000000004E-2</v>
      </c>
      <c r="G266" s="57">
        <v>4.4999999999999998E-2</v>
      </c>
      <c r="H266" s="57" t="s">
        <v>193</v>
      </c>
      <c r="I266" s="33">
        <f t="shared" si="1"/>
        <v>0.84444444444444466</v>
      </c>
    </row>
    <row r="267" spans="1:9" x14ac:dyDescent="0.2">
      <c r="A267" s="70">
        <v>44690</v>
      </c>
      <c r="B267" s="57">
        <v>2092</v>
      </c>
      <c r="C267" s="57">
        <v>1</v>
      </c>
      <c r="D267" s="57" t="s">
        <v>175</v>
      </c>
      <c r="E267" s="57">
        <v>1</v>
      </c>
      <c r="F267" s="57">
        <v>0.1033</v>
      </c>
      <c r="G267" s="57">
        <v>5.6000000000000001E-2</v>
      </c>
      <c r="I267" s="33">
        <f t="shared" si="1"/>
        <v>0.84464285714285714</v>
      </c>
    </row>
    <row r="268" spans="1:9" x14ac:dyDescent="0.2">
      <c r="A268" s="70">
        <v>44708</v>
      </c>
      <c r="B268" s="57">
        <v>2089</v>
      </c>
      <c r="C268" s="57">
        <v>1</v>
      </c>
      <c r="D268" s="57" t="s">
        <v>175</v>
      </c>
      <c r="E268" s="57">
        <v>1</v>
      </c>
      <c r="F268" s="57">
        <v>1.0369999999999999</v>
      </c>
      <c r="G268" s="57">
        <v>0.56200000000000006</v>
      </c>
      <c r="H268" s="57" t="s">
        <v>193</v>
      </c>
      <c r="I268" s="33">
        <f t="shared" si="1"/>
        <v>0.84519572953736621</v>
      </c>
    </row>
    <row r="269" spans="1:9" x14ac:dyDescent="0.2">
      <c r="A269" s="70">
        <v>44706</v>
      </c>
      <c r="B269" s="57">
        <v>2372</v>
      </c>
      <c r="C269" s="57">
        <v>2</v>
      </c>
      <c r="D269" s="57" t="s">
        <v>192</v>
      </c>
      <c r="E269" s="57">
        <v>0</v>
      </c>
      <c r="F269" s="57">
        <v>1.0469999999999999</v>
      </c>
      <c r="G269" s="57">
        <v>0.56720000000000004</v>
      </c>
      <c r="H269" s="57" t="s">
        <v>193</v>
      </c>
      <c r="I269" s="33">
        <f t="shared" si="1"/>
        <v>0.84590973201692499</v>
      </c>
    </row>
    <row r="270" spans="1:9" x14ac:dyDescent="0.2">
      <c r="A270" s="70">
        <v>44706</v>
      </c>
      <c r="B270" s="57">
        <v>2025</v>
      </c>
      <c r="C270" s="57">
        <v>2</v>
      </c>
      <c r="D270" s="57" t="s">
        <v>175</v>
      </c>
      <c r="E270" s="57">
        <v>1</v>
      </c>
      <c r="F270" s="57">
        <v>0.62229999999999996</v>
      </c>
      <c r="G270" s="57">
        <v>0.33700000000000002</v>
      </c>
      <c r="H270" s="57" t="s">
        <v>193</v>
      </c>
      <c r="I270" s="33">
        <f t="shared" si="1"/>
        <v>0.84658753709198786</v>
      </c>
    </row>
    <row r="271" spans="1:9" x14ac:dyDescent="0.2">
      <c r="A271" s="70">
        <v>44708</v>
      </c>
      <c r="B271" s="57">
        <v>2013</v>
      </c>
      <c r="C271" s="57">
        <v>3</v>
      </c>
      <c r="D271" s="57" t="s">
        <v>192</v>
      </c>
      <c r="E271" s="57">
        <v>0</v>
      </c>
      <c r="F271" s="57">
        <v>1.262</v>
      </c>
      <c r="G271" s="57">
        <v>0.68300000000000005</v>
      </c>
      <c r="H271" s="57" t="s">
        <v>193</v>
      </c>
      <c r="I271" s="33">
        <f t="shared" si="1"/>
        <v>0.84773060029282565</v>
      </c>
    </row>
    <row r="272" spans="1:9" x14ac:dyDescent="0.2">
      <c r="A272" s="70">
        <v>44684</v>
      </c>
      <c r="B272" s="57">
        <v>2384</v>
      </c>
      <c r="C272" s="57">
        <v>3</v>
      </c>
      <c r="D272" s="57" t="s">
        <v>175</v>
      </c>
      <c r="E272" s="57">
        <v>1</v>
      </c>
      <c r="F272" s="57">
        <v>0.39679999999999999</v>
      </c>
      <c r="G272" s="57">
        <v>0.2147</v>
      </c>
      <c r="H272" s="57" t="s">
        <v>196</v>
      </c>
      <c r="I272" s="33">
        <f t="shared" si="1"/>
        <v>0.84816022356776888</v>
      </c>
    </row>
    <row r="273" spans="1:9" x14ac:dyDescent="0.2">
      <c r="A273" s="70">
        <v>44704</v>
      </c>
      <c r="B273" s="57">
        <v>2029</v>
      </c>
      <c r="C273" s="57">
        <v>3</v>
      </c>
      <c r="D273" s="57" t="s">
        <v>175</v>
      </c>
      <c r="E273" s="57">
        <v>1</v>
      </c>
      <c r="F273" s="57">
        <v>0.34360000000000002</v>
      </c>
      <c r="G273" s="57">
        <v>0.18590000000000001</v>
      </c>
      <c r="I273" s="33">
        <f t="shared" si="1"/>
        <v>0.84830554061323293</v>
      </c>
    </row>
    <row r="274" spans="1:9" x14ac:dyDescent="0.2">
      <c r="A274" s="70">
        <v>44704</v>
      </c>
      <c r="B274" s="57">
        <v>2365</v>
      </c>
      <c r="C274" s="57">
        <v>3</v>
      </c>
      <c r="D274" s="57" t="s">
        <v>175</v>
      </c>
      <c r="E274" s="57">
        <v>1</v>
      </c>
      <c r="F274" s="57">
        <v>0.4345</v>
      </c>
      <c r="G274" s="57">
        <v>0.23499999999999999</v>
      </c>
      <c r="I274" s="33">
        <f t="shared" si="1"/>
        <v>0.84893617021276602</v>
      </c>
    </row>
    <row r="275" spans="1:9" x14ac:dyDescent="0.2">
      <c r="A275" s="70">
        <v>44704</v>
      </c>
      <c r="B275" s="57">
        <v>2030</v>
      </c>
      <c r="C275" s="57">
        <v>3</v>
      </c>
      <c r="D275" s="57" t="s">
        <v>192</v>
      </c>
      <c r="E275" s="57">
        <v>0</v>
      </c>
      <c r="F275" s="57">
        <v>0.23669999999999999</v>
      </c>
      <c r="G275" s="57">
        <v>0.128</v>
      </c>
      <c r="I275" s="33">
        <f t="shared" si="1"/>
        <v>0.84921874999999991</v>
      </c>
    </row>
    <row r="276" spans="1:9" x14ac:dyDescent="0.2">
      <c r="A276" s="70">
        <v>44685</v>
      </c>
      <c r="B276" s="57">
        <v>2379</v>
      </c>
      <c r="C276" s="57">
        <v>3</v>
      </c>
      <c r="D276" s="57" t="s">
        <v>175</v>
      </c>
      <c r="E276" s="57">
        <v>1</v>
      </c>
      <c r="F276" s="57">
        <v>0.1452</v>
      </c>
      <c r="G276" s="57">
        <v>7.85E-2</v>
      </c>
      <c r="I276" s="33">
        <f t="shared" si="1"/>
        <v>0.8496815286624203</v>
      </c>
    </row>
    <row r="277" spans="1:9" x14ac:dyDescent="0.2">
      <c r="A277" s="70">
        <v>44635</v>
      </c>
      <c r="B277" s="57">
        <v>2022</v>
      </c>
      <c r="C277" s="57">
        <v>1</v>
      </c>
      <c r="D277" s="57" t="s">
        <v>192</v>
      </c>
      <c r="E277" s="57" t="s">
        <v>60</v>
      </c>
      <c r="F277" s="57">
        <v>6.1909999999999998</v>
      </c>
      <c r="G277" s="57">
        <v>3.347</v>
      </c>
      <c r="H277" s="57" t="s">
        <v>194</v>
      </c>
      <c r="I277" s="33">
        <f t="shared" si="1"/>
        <v>0.84971616372871228</v>
      </c>
    </row>
    <row r="278" spans="1:9" x14ac:dyDescent="0.2">
      <c r="A278" s="70">
        <v>44704</v>
      </c>
      <c r="B278" s="57">
        <v>2343</v>
      </c>
      <c r="C278" s="57">
        <v>2</v>
      </c>
      <c r="D278" s="57" t="s">
        <v>192</v>
      </c>
      <c r="E278" s="57">
        <v>0</v>
      </c>
      <c r="F278" s="57">
        <v>1.2636000000000001</v>
      </c>
      <c r="G278" s="57">
        <v>0.68300000000000005</v>
      </c>
      <c r="I278" s="33">
        <f t="shared" si="1"/>
        <v>0.85007320644216688</v>
      </c>
    </row>
    <row r="279" spans="1:9" x14ac:dyDescent="0.2">
      <c r="A279" s="70">
        <v>44690</v>
      </c>
      <c r="B279" s="57">
        <v>2005</v>
      </c>
      <c r="C279" s="57">
        <v>2</v>
      </c>
      <c r="D279" s="57" t="s">
        <v>192</v>
      </c>
      <c r="E279" s="57">
        <v>0</v>
      </c>
      <c r="F279" s="57">
        <v>0.85299999999999998</v>
      </c>
      <c r="G279" s="57">
        <v>0.46100000000000002</v>
      </c>
      <c r="I279" s="33">
        <f t="shared" si="1"/>
        <v>0.85032537960954435</v>
      </c>
    </row>
    <row r="280" spans="1:9" x14ac:dyDescent="0.2">
      <c r="A280" s="70">
        <v>44706</v>
      </c>
      <c r="B280" s="57">
        <v>2331</v>
      </c>
      <c r="C280" s="57">
        <v>1</v>
      </c>
      <c r="D280" s="57" t="s">
        <v>192</v>
      </c>
      <c r="E280" s="57">
        <v>0</v>
      </c>
      <c r="F280" s="57">
        <v>1.1251</v>
      </c>
      <c r="G280" s="57">
        <v>0.60799999999999998</v>
      </c>
      <c r="H280" s="57" t="s">
        <v>193</v>
      </c>
      <c r="I280" s="33">
        <f t="shared" si="1"/>
        <v>0.85049342105263159</v>
      </c>
    </row>
    <row r="281" spans="1:9" x14ac:dyDescent="0.2">
      <c r="A281" s="70">
        <v>44704</v>
      </c>
      <c r="B281" s="57">
        <v>2083</v>
      </c>
      <c r="C281" s="57">
        <v>2</v>
      </c>
      <c r="D281" s="57" t="s">
        <v>192</v>
      </c>
      <c r="E281" s="57">
        <v>0</v>
      </c>
      <c r="F281" s="57">
        <v>0.52370000000000005</v>
      </c>
      <c r="G281" s="57">
        <v>0.28299999999999997</v>
      </c>
      <c r="I281" s="33">
        <f t="shared" si="1"/>
        <v>0.85053003533568938</v>
      </c>
    </row>
    <row r="282" spans="1:9" x14ac:dyDescent="0.2">
      <c r="A282" s="70">
        <v>44685</v>
      </c>
      <c r="B282" s="57">
        <v>2377</v>
      </c>
      <c r="C282" s="57">
        <v>2</v>
      </c>
      <c r="D282" s="57" t="s">
        <v>192</v>
      </c>
      <c r="E282" s="57">
        <v>1</v>
      </c>
      <c r="F282" s="57">
        <v>1.3244</v>
      </c>
      <c r="G282" s="57">
        <v>0.71560000000000001</v>
      </c>
      <c r="I282" s="33">
        <f t="shared" si="1"/>
        <v>0.85075461151481269</v>
      </c>
    </row>
    <row r="283" spans="1:9" x14ac:dyDescent="0.2">
      <c r="A283" s="70">
        <v>44708</v>
      </c>
      <c r="B283" s="57">
        <v>2089</v>
      </c>
      <c r="C283" s="57">
        <v>1</v>
      </c>
      <c r="D283" s="57" t="s">
        <v>192</v>
      </c>
      <c r="E283" s="57">
        <v>0</v>
      </c>
      <c r="F283" s="57">
        <v>1.4510000000000001</v>
      </c>
      <c r="G283" s="57">
        <v>0.78400000000000003</v>
      </c>
      <c r="H283" s="57" t="s">
        <v>193</v>
      </c>
      <c r="I283" s="33">
        <f t="shared" si="1"/>
        <v>0.85076530612244905</v>
      </c>
    </row>
    <row r="284" spans="1:9" x14ac:dyDescent="0.2">
      <c r="A284" s="70">
        <v>44704</v>
      </c>
      <c r="B284" s="57">
        <v>2376</v>
      </c>
      <c r="C284" s="57">
        <v>3</v>
      </c>
      <c r="D284" s="57" t="s">
        <v>175</v>
      </c>
      <c r="E284" s="57">
        <v>1</v>
      </c>
      <c r="F284" s="57">
        <v>0.58679999999999999</v>
      </c>
      <c r="G284" s="57">
        <v>0.317</v>
      </c>
      <c r="I284" s="33">
        <f t="shared" si="1"/>
        <v>0.85110410094637223</v>
      </c>
    </row>
    <row r="285" spans="1:9" x14ac:dyDescent="0.2">
      <c r="A285" s="70">
        <v>44685</v>
      </c>
      <c r="B285" s="57">
        <v>2377</v>
      </c>
      <c r="C285" s="57">
        <v>3</v>
      </c>
      <c r="D285" s="57" t="s">
        <v>175</v>
      </c>
      <c r="E285" s="57">
        <v>1</v>
      </c>
      <c r="F285" s="57">
        <v>0.12720000000000001</v>
      </c>
      <c r="G285" s="57">
        <v>6.8699999999999997E-2</v>
      </c>
      <c r="I285" s="33">
        <f t="shared" si="1"/>
        <v>0.85152838427947619</v>
      </c>
    </row>
    <row r="286" spans="1:9" x14ac:dyDescent="0.2">
      <c r="A286" s="70">
        <v>44685</v>
      </c>
      <c r="B286" s="57">
        <v>2378</v>
      </c>
      <c r="C286" s="57">
        <v>1</v>
      </c>
      <c r="D286" s="57" t="s">
        <v>192</v>
      </c>
      <c r="E286" s="57">
        <v>0</v>
      </c>
      <c r="F286" s="57">
        <v>0.6109</v>
      </c>
      <c r="G286" s="57">
        <v>0.32990000000000003</v>
      </c>
      <c r="I286" s="33">
        <f t="shared" si="1"/>
        <v>0.85177326462564396</v>
      </c>
    </row>
    <row r="287" spans="1:9" x14ac:dyDescent="0.2">
      <c r="A287" s="70">
        <v>44706</v>
      </c>
      <c r="B287" s="57">
        <v>2345</v>
      </c>
      <c r="C287" s="57">
        <v>3</v>
      </c>
      <c r="D287" s="57" t="s">
        <v>175</v>
      </c>
      <c r="E287" s="57">
        <v>1</v>
      </c>
      <c r="F287" s="57">
        <v>0.35959999999999998</v>
      </c>
      <c r="G287" s="57">
        <v>0.19400000000000001</v>
      </c>
      <c r="H287" s="57" t="s">
        <v>193</v>
      </c>
      <c r="I287" s="33">
        <f t="shared" si="1"/>
        <v>0.85360824742268027</v>
      </c>
    </row>
    <row r="288" spans="1:9" x14ac:dyDescent="0.2">
      <c r="A288" s="70">
        <v>44708</v>
      </c>
      <c r="B288" s="57">
        <v>2015</v>
      </c>
      <c r="C288" s="57">
        <v>2</v>
      </c>
      <c r="D288" s="57" t="s">
        <v>192</v>
      </c>
      <c r="E288" s="57">
        <v>0</v>
      </c>
      <c r="F288" s="57">
        <v>0.54700000000000004</v>
      </c>
      <c r="G288" s="57">
        <v>0.29499999999999998</v>
      </c>
      <c r="H288" s="57" t="s">
        <v>193</v>
      </c>
      <c r="I288" s="33">
        <f t="shared" si="1"/>
        <v>0.85423728813559341</v>
      </c>
    </row>
    <row r="289" spans="1:9" x14ac:dyDescent="0.2">
      <c r="A289" s="70">
        <v>44706</v>
      </c>
      <c r="B289" s="57">
        <v>2021</v>
      </c>
      <c r="C289" s="57">
        <v>1</v>
      </c>
      <c r="D289" s="57" t="s">
        <v>192</v>
      </c>
      <c r="E289" s="57">
        <v>0</v>
      </c>
      <c r="F289" s="57">
        <v>0.56940000000000002</v>
      </c>
      <c r="G289" s="57">
        <v>0.307</v>
      </c>
      <c r="H289" s="57" t="s">
        <v>193</v>
      </c>
      <c r="I289" s="33">
        <f t="shared" si="1"/>
        <v>0.85472312703583075</v>
      </c>
    </row>
    <row r="290" spans="1:9" x14ac:dyDescent="0.2">
      <c r="A290" s="70">
        <v>44665</v>
      </c>
      <c r="B290" s="57">
        <v>2384</v>
      </c>
      <c r="C290" s="57">
        <v>1</v>
      </c>
      <c r="D290" s="57" t="s">
        <v>175</v>
      </c>
      <c r="E290" s="57">
        <v>1</v>
      </c>
      <c r="F290" s="57">
        <v>0.41880000000000001</v>
      </c>
      <c r="G290" s="57">
        <v>0.22570000000000001</v>
      </c>
      <c r="H290" s="57" t="s">
        <v>191</v>
      </c>
      <c r="I290" s="33">
        <f t="shared" si="1"/>
        <v>0.85556047851129813</v>
      </c>
    </row>
    <row r="291" spans="1:9" x14ac:dyDescent="0.2">
      <c r="A291" s="70">
        <v>44706</v>
      </c>
      <c r="B291" s="57">
        <v>2301</v>
      </c>
      <c r="C291" s="57">
        <v>2</v>
      </c>
      <c r="D291" s="57" t="s">
        <v>175</v>
      </c>
      <c r="E291" s="57">
        <v>1</v>
      </c>
      <c r="F291" s="57">
        <v>0.505</v>
      </c>
      <c r="G291" s="57">
        <v>0.27200000000000002</v>
      </c>
      <c r="H291" s="57" t="s">
        <v>193</v>
      </c>
      <c r="I291" s="33">
        <f t="shared" si="1"/>
        <v>0.85661764705882337</v>
      </c>
    </row>
    <row r="292" spans="1:9" x14ac:dyDescent="0.2">
      <c r="A292" s="70">
        <v>44690</v>
      </c>
      <c r="B292" s="57">
        <v>2007</v>
      </c>
      <c r="C292" s="57">
        <v>3</v>
      </c>
      <c r="D292" s="57" t="s">
        <v>192</v>
      </c>
      <c r="E292" s="57">
        <v>0</v>
      </c>
      <c r="F292" s="57">
        <v>0.91649999999999998</v>
      </c>
      <c r="G292" s="57">
        <v>0.49299999999999999</v>
      </c>
      <c r="I292" s="33">
        <f t="shared" si="1"/>
        <v>0.85902636916835695</v>
      </c>
    </row>
    <row r="293" spans="1:9" x14ac:dyDescent="0.2">
      <c r="A293" s="70">
        <v>44706</v>
      </c>
      <c r="B293" s="57">
        <v>2371</v>
      </c>
      <c r="C293" s="57">
        <v>2</v>
      </c>
      <c r="D293" s="57" t="s">
        <v>175</v>
      </c>
      <c r="E293" s="57">
        <v>1</v>
      </c>
      <c r="F293" s="57">
        <v>0.42759999999999998</v>
      </c>
      <c r="G293" s="57">
        <v>0.23</v>
      </c>
      <c r="H293" s="57" t="s">
        <v>193</v>
      </c>
      <c r="I293" s="33">
        <f t="shared" si="1"/>
        <v>0.85913043478260853</v>
      </c>
    </row>
    <row r="294" spans="1:9" x14ac:dyDescent="0.2">
      <c r="A294" s="70">
        <v>44704</v>
      </c>
      <c r="B294" s="57">
        <v>2026</v>
      </c>
      <c r="C294" s="57">
        <v>1</v>
      </c>
      <c r="D294" s="57" t="s">
        <v>175</v>
      </c>
      <c r="E294" s="57">
        <v>1</v>
      </c>
      <c r="F294" s="57">
        <v>0.1283</v>
      </c>
      <c r="G294" s="57">
        <v>6.9000000000000006E-2</v>
      </c>
      <c r="I294" s="33">
        <f t="shared" si="1"/>
        <v>0.85942028985507224</v>
      </c>
    </row>
    <row r="295" spans="1:9" x14ac:dyDescent="0.2">
      <c r="A295" s="70">
        <v>44704</v>
      </c>
      <c r="B295" s="57">
        <v>2343</v>
      </c>
      <c r="C295" s="57">
        <v>1</v>
      </c>
      <c r="D295" s="57" t="s">
        <v>192</v>
      </c>
      <c r="E295" s="57">
        <v>0</v>
      </c>
      <c r="F295" s="57">
        <v>1.3120000000000001</v>
      </c>
      <c r="G295" s="57">
        <v>0.70509999999999995</v>
      </c>
      <c r="I295" s="33">
        <f t="shared" si="1"/>
        <v>0.86072897461353026</v>
      </c>
    </row>
    <row r="296" spans="1:9" x14ac:dyDescent="0.2">
      <c r="A296" s="70">
        <v>44684</v>
      </c>
      <c r="B296" s="57">
        <v>2009</v>
      </c>
      <c r="C296" s="57">
        <v>3</v>
      </c>
      <c r="D296" s="57" t="s">
        <v>192</v>
      </c>
      <c r="E296" s="57">
        <v>0</v>
      </c>
      <c r="F296" s="57">
        <v>1.6147</v>
      </c>
      <c r="G296" s="57">
        <v>0.86739999999999995</v>
      </c>
      <c r="H296" s="57" t="s">
        <v>196</v>
      </c>
      <c r="I296" s="33">
        <f t="shared" si="1"/>
        <v>0.86154023518561229</v>
      </c>
    </row>
    <row r="297" spans="1:9" x14ac:dyDescent="0.2">
      <c r="A297" s="70">
        <v>44690</v>
      </c>
      <c r="B297" s="57">
        <v>2089</v>
      </c>
      <c r="C297" s="57">
        <v>1</v>
      </c>
      <c r="D297" s="57" t="s">
        <v>192</v>
      </c>
      <c r="E297" s="57">
        <v>1</v>
      </c>
      <c r="F297" s="57">
        <v>0.51400000000000001</v>
      </c>
      <c r="G297" s="57">
        <v>0.27600000000000002</v>
      </c>
      <c r="I297" s="33">
        <f t="shared" si="1"/>
        <v>0.86231884057971009</v>
      </c>
    </row>
    <row r="298" spans="1:9" x14ac:dyDescent="0.2">
      <c r="A298" s="70">
        <v>44685</v>
      </c>
      <c r="B298" s="57">
        <v>2375</v>
      </c>
      <c r="C298" s="57">
        <v>2</v>
      </c>
      <c r="D298" s="57" t="s">
        <v>175</v>
      </c>
      <c r="E298" s="57">
        <v>1</v>
      </c>
      <c r="F298" s="57">
        <v>0.15049999999999999</v>
      </c>
      <c r="G298" s="57">
        <v>8.0799999999999997E-2</v>
      </c>
      <c r="I298" s="33">
        <f t="shared" si="1"/>
        <v>0.86262376237623761</v>
      </c>
    </row>
    <row r="299" spans="1:9" x14ac:dyDescent="0.2">
      <c r="A299" s="70">
        <v>44706</v>
      </c>
      <c r="B299" s="57">
        <v>2331</v>
      </c>
      <c r="C299" s="57">
        <v>1</v>
      </c>
      <c r="D299" s="57" t="s">
        <v>175</v>
      </c>
      <c r="E299" s="57">
        <v>1</v>
      </c>
      <c r="F299" s="57">
        <v>0.41170000000000001</v>
      </c>
      <c r="G299" s="57">
        <v>0.221</v>
      </c>
      <c r="H299" s="57" t="s">
        <v>193</v>
      </c>
      <c r="I299" s="33">
        <f t="shared" si="1"/>
        <v>0.86289592760181</v>
      </c>
    </row>
    <row r="300" spans="1:9" x14ac:dyDescent="0.2">
      <c r="A300" s="70">
        <v>44685</v>
      </c>
      <c r="B300" s="57">
        <v>2360</v>
      </c>
      <c r="C300" s="57">
        <v>3</v>
      </c>
      <c r="D300" s="57" t="s">
        <v>175</v>
      </c>
      <c r="E300" s="57">
        <v>1</v>
      </c>
      <c r="F300" s="57">
        <v>0.36330000000000001</v>
      </c>
      <c r="G300" s="57">
        <v>0.19500000000000001</v>
      </c>
      <c r="I300" s="33">
        <f t="shared" si="1"/>
        <v>0.86307692307692307</v>
      </c>
    </row>
    <row r="301" spans="1:9" x14ac:dyDescent="0.2">
      <c r="A301" s="70">
        <v>44684</v>
      </c>
      <c r="B301" s="57">
        <v>2346</v>
      </c>
      <c r="C301" s="57">
        <v>2</v>
      </c>
      <c r="D301" s="57" t="s">
        <v>175</v>
      </c>
      <c r="E301" s="57">
        <v>1</v>
      </c>
      <c r="F301" s="57">
        <v>0.70420000000000005</v>
      </c>
      <c r="G301" s="57">
        <v>0.37790000000000001</v>
      </c>
      <c r="H301" s="57" t="s">
        <v>196</v>
      </c>
      <c r="I301" s="33">
        <f t="shared" si="1"/>
        <v>0.8634559407250596</v>
      </c>
    </row>
    <row r="302" spans="1:9" x14ac:dyDescent="0.2">
      <c r="A302" s="70">
        <v>44704</v>
      </c>
      <c r="B302" s="57">
        <v>2354</v>
      </c>
      <c r="C302" s="57">
        <v>1</v>
      </c>
      <c r="D302" s="57" t="s">
        <v>175</v>
      </c>
      <c r="E302" s="57">
        <v>1</v>
      </c>
      <c r="F302" s="57">
        <v>0.21429999999999999</v>
      </c>
      <c r="G302" s="57">
        <v>0.115</v>
      </c>
      <c r="I302" s="33">
        <f t="shared" si="1"/>
        <v>0.86347826086956503</v>
      </c>
    </row>
    <row r="303" spans="1:9" x14ac:dyDescent="0.2">
      <c r="A303" s="70">
        <v>44704</v>
      </c>
      <c r="B303" s="57">
        <v>2031</v>
      </c>
      <c r="C303" s="57">
        <v>1</v>
      </c>
      <c r="D303" s="57" t="s">
        <v>192</v>
      </c>
      <c r="E303" s="57">
        <v>0</v>
      </c>
      <c r="F303" s="57">
        <v>1.3597999999999999</v>
      </c>
      <c r="G303" s="57">
        <v>0.72970000000000002</v>
      </c>
      <c r="I303" s="33">
        <f t="shared" si="1"/>
        <v>0.86350555022612019</v>
      </c>
    </row>
    <row r="304" spans="1:9" x14ac:dyDescent="0.2">
      <c r="A304" s="70">
        <v>44704</v>
      </c>
      <c r="B304" s="57">
        <v>2026</v>
      </c>
      <c r="C304" s="57">
        <v>2</v>
      </c>
      <c r="D304" s="57" t="s">
        <v>192</v>
      </c>
      <c r="E304" s="57">
        <v>0</v>
      </c>
      <c r="F304" s="57">
        <v>0.53680000000000005</v>
      </c>
      <c r="G304" s="57">
        <v>0.28799999999999998</v>
      </c>
      <c r="I304" s="33">
        <f t="shared" si="1"/>
        <v>0.86388888888888926</v>
      </c>
    </row>
    <row r="305" spans="1:9" x14ac:dyDescent="0.2">
      <c r="A305" s="70">
        <v>44708</v>
      </c>
      <c r="B305" s="57">
        <v>2085</v>
      </c>
      <c r="C305" s="57">
        <v>1</v>
      </c>
      <c r="D305" s="57" t="s">
        <v>192</v>
      </c>
      <c r="E305" s="57">
        <v>0</v>
      </c>
      <c r="F305" s="57">
        <v>0.46800000000000003</v>
      </c>
      <c r="G305" s="57">
        <v>0.251</v>
      </c>
      <c r="H305" s="57" t="s">
        <v>193</v>
      </c>
      <c r="I305" s="33">
        <f t="shared" si="1"/>
        <v>0.86454183266932283</v>
      </c>
    </row>
    <row r="306" spans="1:9" x14ac:dyDescent="0.2">
      <c r="A306" s="70">
        <v>44704</v>
      </c>
      <c r="B306" s="57">
        <v>2031</v>
      </c>
      <c r="C306" s="57">
        <v>2</v>
      </c>
      <c r="D306" s="57" t="s">
        <v>192</v>
      </c>
      <c r="E306" s="57">
        <v>0</v>
      </c>
      <c r="F306" s="57">
        <v>1.0341</v>
      </c>
      <c r="G306" s="57">
        <v>0.5544</v>
      </c>
      <c r="I306" s="33">
        <f t="shared" si="1"/>
        <v>0.86525974025974028</v>
      </c>
    </row>
    <row r="307" spans="1:9" x14ac:dyDescent="0.2">
      <c r="A307" s="70">
        <v>44708</v>
      </c>
      <c r="B307" s="57">
        <v>2085</v>
      </c>
      <c r="C307" s="57">
        <v>3</v>
      </c>
      <c r="D307" s="57" t="s">
        <v>192</v>
      </c>
      <c r="E307" s="57">
        <v>0</v>
      </c>
      <c r="F307" s="57">
        <v>0.222</v>
      </c>
      <c r="G307" s="57">
        <v>0.11899999999999999</v>
      </c>
      <c r="H307" s="57" t="s">
        <v>193</v>
      </c>
      <c r="I307" s="33">
        <f t="shared" si="1"/>
        <v>0.8655462184873951</v>
      </c>
    </row>
    <row r="308" spans="1:9" x14ac:dyDescent="0.2">
      <c r="A308" s="70">
        <v>44704</v>
      </c>
      <c r="B308" s="57">
        <v>2021</v>
      </c>
      <c r="C308" s="57">
        <v>2</v>
      </c>
      <c r="D308" s="57" t="s">
        <v>175</v>
      </c>
      <c r="E308" s="57">
        <v>1</v>
      </c>
      <c r="F308" s="57">
        <v>0.47020000000000001</v>
      </c>
      <c r="G308" s="57">
        <v>0.252</v>
      </c>
      <c r="I308" s="33">
        <f t="shared" si="1"/>
        <v>0.86587301587301591</v>
      </c>
    </row>
    <row r="309" spans="1:9" x14ac:dyDescent="0.2">
      <c r="A309" s="70">
        <v>44685</v>
      </c>
      <c r="B309" s="57">
        <v>2383</v>
      </c>
      <c r="C309" s="57">
        <v>3</v>
      </c>
      <c r="D309" s="57" t="s">
        <v>175</v>
      </c>
      <c r="E309" s="57">
        <v>1</v>
      </c>
      <c r="F309" s="57">
        <v>0.14990000000000001</v>
      </c>
      <c r="G309" s="57">
        <v>8.0299999999999996E-2</v>
      </c>
      <c r="I309" s="33">
        <f t="shared" si="1"/>
        <v>0.86674968866749702</v>
      </c>
    </row>
    <row r="310" spans="1:9" x14ac:dyDescent="0.2">
      <c r="A310" s="70">
        <v>44706</v>
      </c>
      <c r="B310" s="57">
        <v>2369</v>
      </c>
      <c r="C310" s="57">
        <v>3</v>
      </c>
      <c r="D310" s="57" t="s">
        <v>192</v>
      </c>
      <c r="E310" s="57">
        <v>0</v>
      </c>
      <c r="F310" s="57">
        <v>0.98939999999999995</v>
      </c>
      <c r="G310" s="57">
        <v>0.53</v>
      </c>
      <c r="H310" s="57" t="s">
        <v>193</v>
      </c>
      <c r="I310" s="33">
        <f t="shared" si="1"/>
        <v>0.86679245283018846</v>
      </c>
    </row>
    <row r="311" spans="1:9" x14ac:dyDescent="0.2">
      <c r="A311" s="70">
        <v>44706</v>
      </c>
      <c r="B311" s="57">
        <v>2345</v>
      </c>
      <c r="C311" s="57">
        <v>1</v>
      </c>
      <c r="D311" s="57" t="s">
        <v>175</v>
      </c>
      <c r="E311" s="57">
        <v>1</v>
      </c>
      <c r="F311" s="57">
        <v>0.25390000000000001</v>
      </c>
      <c r="G311" s="57">
        <v>0.13600000000000001</v>
      </c>
      <c r="H311" s="57" t="s">
        <v>193</v>
      </c>
      <c r="I311" s="33">
        <f t="shared" si="1"/>
        <v>0.86691176470588227</v>
      </c>
    </row>
    <row r="312" spans="1:9" x14ac:dyDescent="0.2">
      <c r="A312" s="70">
        <v>44704</v>
      </c>
      <c r="B312" s="57">
        <v>2027</v>
      </c>
      <c r="C312" s="57">
        <v>1</v>
      </c>
      <c r="D312" s="57" t="s">
        <v>192</v>
      </c>
      <c r="E312" s="57">
        <v>0</v>
      </c>
      <c r="F312" s="57">
        <v>0.78049999999999997</v>
      </c>
      <c r="G312" s="57">
        <v>0.41799999999999998</v>
      </c>
      <c r="I312" s="33">
        <f t="shared" si="1"/>
        <v>0.86722488038277512</v>
      </c>
    </row>
    <row r="313" spans="1:9" x14ac:dyDescent="0.2">
      <c r="A313" s="70">
        <v>44704</v>
      </c>
      <c r="B313" s="57">
        <v>2031</v>
      </c>
      <c r="C313" s="57">
        <v>3</v>
      </c>
      <c r="D313" s="57" t="s">
        <v>192</v>
      </c>
      <c r="E313" s="57">
        <v>0</v>
      </c>
      <c r="F313" s="57">
        <v>1.5629</v>
      </c>
      <c r="G313" s="57">
        <v>0.83699999999999997</v>
      </c>
      <c r="I313" s="33">
        <f t="shared" si="1"/>
        <v>0.86726403823178022</v>
      </c>
    </row>
    <row r="314" spans="1:9" x14ac:dyDescent="0.2">
      <c r="A314" s="70">
        <v>44704</v>
      </c>
      <c r="B314" s="57">
        <v>2031</v>
      </c>
      <c r="C314" s="57">
        <v>1</v>
      </c>
      <c r="D314" s="57" t="s">
        <v>175</v>
      </c>
      <c r="E314" s="57">
        <v>1</v>
      </c>
      <c r="F314" s="57">
        <v>0.4889</v>
      </c>
      <c r="G314" s="57">
        <v>0.26179999999999998</v>
      </c>
      <c r="I314" s="33">
        <f t="shared" si="1"/>
        <v>0.86745607333842645</v>
      </c>
    </row>
    <row r="315" spans="1:9" x14ac:dyDescent="0.2">
      <c r="A315" s="70">
        <v>44706</v>
      </c>
      <c r="B315" s="57">
        <v>2331</v>
      </c>
      <c r="C315" s="57">
        <v>3</v>
      </c>
      <c r="D315" s="57" t="s">
        <v>192</v>
      </c>
      <c r="E315" s="57">
        <v>0</v>
      </c>
      <c r="F315" s="57">
        <v>2.706</v>
      </c>
      <c r="G315" s="57">
        <v>1.4490000000000001</v>
      </c>
      <c r="H315" s="57" t="s">
        <v>193</v>
      </c>
      <c r="I315" s="33">
        <f t="shared" si="1"/>
        <v>0.86749482401656308</v>
      </c>
    </row>
    <row r="316" spans="1:9" x14ac:dyDescent="0.2">
      <c r="A316" s="70">
        <v>44704</v>
      </c>
      <c r="B316" s="57">
        <v>2022</v>
      </c>
      <c r="C316" s="57">
        <v>2</v>
      </c>
      <c r="D316" s="57" t="s">
        <v>192</v>
      </c>
      <c r="E316" s="57">
        <v>0</v>
      </c>
      <c r="F316" s="57">
        <v>2.6488999999999998</v>
      </c>
      <c r="G316" s="57">
        <v>1.4180999999999999</v>
      </c>
      <c r="I316" s="33">
        <f t="shared" si="1"/>
        <v>0.86792186728721521</v>
      </c>
    </row>
    <row r="317" spans="1:9" x14ac:dyDescent="0.2">
      <c r="A317" s="70">
        <v>44684</v>
      </c>
      <c r="B317" s="57">
        <v>2009</v>
      </c>
      <c r="C317" s="57">
        <v>1</v>
      </c>
      <c r="D317" s="57" t="s">
        <v>175</v>
      </c>
      <c r="E317" s="57">
        <v>1</v>
      </c>
      <c r="F317" s="57">
        <v>0.309</v>
      </c>
      <c r="G317" s="57">
        <v>0.16539999999999999</v>
      </c>
      <c r="H317" s="57" t="s">
        <v>196</v>
      </c>
      <c r="I317" s="33">
        <f t="shared" si="1"/>
        <v>0.86819830713422019</v>
      </c>
    </row>
    <row r="318" spans="1:9" x14ac:dyDescent="0.2">
      <c r="A318" s="70">
        <v>44684</v>
      </c>
      <c r="B318" s="57">
        <v>2009</v>
      </c>
      <c r="C318" s="57">
        <v>2</v>
      </c>
      <c r="D318" s="57" t="s">
        <v>175</v>
      </c>
      <c r="E318" s="57">
        <v>1</v>
      </c>
      <c r="F318" s="57">
        <v>0.6048</v>
      </c>
      <c r="G318" s="57">
        <v>0.32369999999999999</v>
      </c>
      <c r="H318" s="57" t="s">
        <v>196</v>
      </c>
      <c r="I318" s="33">
        <f t="shared" si="1"/>
        <v>0.86839666357738654</v>
      </c>
    </row>
    <row r="319" spans="1:9" x14ac:dyDescent="0.2">
      <c r="A319" s="70">
        <v>44684</v>
      </c>
      <c r="B319" s="57">
        <v>2384</v>
      </c>
      <c r="C319" s="57">
        <v>3</v>
      </c>
      <c r="D319" s="57" t="s">
        <v>192</v>
      </c>
      <c r="E319" s="57">
        <v>0</v>
      </c>
      <c r="F319" s="57">
        <v>0.77200000000000002</v>
      </c>
      <c r="G319" s="57">
        <v>0.41289999999999999</v>
      </c>
      <c r="H319" s="57" t="s">
        <v>196</v>
      </c>
      <c r="I319" s="33">
        <f t="shared" si="1"/>
        <v>0.86970210704771145</v>
      </c>
    </row>
    <row r="320" spans="1:9" x14ac:dyDescent="0.2">
      <c r="A320" s="70">
        <v>44650</v>
      </c>
      <c r="B320" s="57">
        <v>2380</v>
      </c>
      <c r="C320" s="57">
        <v>1</v>
      </c>
      <c r="D320" s="57" t="s">
        <v>175</v>
      </c>
      <c r="E320" s="57" t="s">
        <v>60</v>
      </c>
      <c r="F320" s="57">
        <v>0.20380000000000001</v>
      </c>
      <c r="G320" s="57">
        <v>0.109</v>
      </c>
      <c r="H320" s="57" t="s">
        <v>191</v>
      </c>
      <c r="I320" s="33">
        <f t="shared" si="1"/>
        <v>0.86972477064220188</v>
      </c>
    </row>
    <row r="321" spans="1:9" x14ac:dyDescent="0.2">
      <c r="A321" s="70">
        <v>44708</v>
      </c>
      <c r="B321" s="57">
        <v>2005</v>
      </c>
      <c r="C321" s="57">
        <v>2</v>
      </c>
      <c r="D321" s="57" t="s">
        <v>192</v>
      </c>
      <c r="E321" s="57">
        <v>0</v>
      </c>
      <c r="F321" s="57">
        <v>0.90700000000000003</v>
      </c>
      <c r="G321" s="57">
        <v>0.48499999999999999</v>
      </c>
      <c r="H321" s="57" t="s">
        <v>193</v>
      </c>
      <c r="I321" s="33">
        <f t="shared" si="1"/>
        <v>0.87010309278350528</v>
      </c>
    </row>
    <row r="322" spans="1:9" x14ac:dyDescent="0.2">
      <c r="A322" s="70">
        <v>44665</v>
      </c>
      <c r="B322" s="57">
        <v>2031</v>
      </c>
      <c r="C322" s="57">
        <v>1</v>
      </c>
      <c r="D322" s="57" t="s">
        <v>175</v>
      </c>
      <c r="E322" s="57">
        <v>1</v>
      </c>
      <c r="F322" s="57">
        <v>0.16850000000000001</v>
      </c>
      <c r="G322" s="57">
        <v>9.01E-2</v>
      </c>
      <c r="H322" s="57" t="s">
        <v>191</v>
      </c>
      <c r="I322" s="33">
        <f t="shared" si="1"/>
        <v>0.870144284128746</v>
      </c>
    </row>
    <row r="323" spans="1:9" x14ac:dyDescent="0.2">
      <c r="A323" s="70">
        <v>44708</v>
      </c>
      <c r="B323" s="57">
        <v>2015</v>
      </c>
      <c r="C323" s="57">
        <v>1</v>
      </c>
      <c r="D323" s="57" t="s">
        <v>192</v>
      </c>
      <c r="E323" s="57">
        <v>0</v>
      </c>
      <c r="F323" s="57">
        <v>0.56299999999999994</v>
      </c>
      <c r="G323" s="57">
        <v>0.30099999999999999</v>
      </c>
      <c r="H323" s="57" t="s">
        <v>193</v>
      </c>
      <c r="I323" s="33">
        <f t="shared" si="1"/>
        <v>0.87043189368770757</v>
      </c>
    </row>
    <row r="324" spans="1:9" x14ac:dyDescent="0.2">
      <c r="A324" s="70">
        <v>44690</v>
      </c>
      <c r="B324" s="57">
        <v>2029</v>
      </c>
      <c r="C324" s="57">
        <v>3</v>
      </c>
      <c r="D324" s="57" t="s">
        <v>192</v>
      </c>
      <c r="E324" s="57">
        <v>1</v>
      </c>
      <c r="F324" s="57">
        <v>0.93340000000000001</v>
      </c>
      <c r="G324" s="57">
        <v>0.49880000000000002</v>
      </c>
      <c r="I324" s="33">
        <f t="shared" si="1"/>
        <v>0.87129109863672805</v>
      </c>
    </row>
    <row r="325" spans="1:9" x14ac:dyDescent="0.2">
      <c r="A325" s="70">
        <v>44690</v>
      </c>
      <c r="B325" s="57">
        <v>2023</v>
      </c>
      <c r="C325" s="57">
        <v>2</v>
      </c>
      <c r="D325" s="57" t="s">
        <v>192</v>
      </c>
      <c r="E325" s="57">
        <v>1</v>
      </c>
      <c r="F325" s="57">
        <v>1.3081</v>
      </c>
      <c r="G325" s="57">
        <v>0.69879999999999998</v>
      </c>
      <c r="I325" s="33">
        <f t="shared" si="1"/>
        <v>0.87192329708070992</v>
      </c>
    </row>
    <row r="326" spans="1:9" x14ac:dyDescent="0.2">
      <c r="A326" s="70">
        <v>44704</v>
      </c>
      <c r="B326" s="57">
        <v>2021</v>
      </c>
      <c r="C326" s="57">
        <v>1</v>
      </c>
      <c r="D326" s="57" t="s">
        <v>175</v>
      </c>
      <c r="E326" s="57">
        <v>1</v>
      </c>
      <c r="F326" s="57">
        <v>9.3600000000000003E-2</v>
      </c>
      <c r="G326" s="57">
        <v>0.05</v>
      </c>
      <c r="H326" s="57" t="s">
        <v>197</v>
      </c>
      <c r="I326" s="33">
        <f t="shared" si="1"/>
        <v>0.872</v>
      </c>
    </row>
    <row r="327" spans="1:9" x14ac:dyDescent="0.2">
      <c r="A327" s="70">
        <v>44650</v>
      </c>
      <c r="B327" s="57">
        <v>2345</v>
      </c>
      <c r="C327" s="57">
        <v>1</v>
      </c>
      <c r="D327" s="57" t="s">
        <v>175</v>
      </c>
      <c r="E327" s="57" t="s">
        <v>60</v>
      </c>
      <c r="F327" s="57">
        <v>0.34079999999999999</v>
      </c>
      <c r="G327" s="57">
        <v>0.182</v>
      </c>
      <c r="H327" s="57" t="s">
        <v>191</v>
      </c>
      <c r="I327" s="33">
        <f t="shared" si="1"/>
        <v>0.87252747252747254</v>
      </c>
    </row>
    <row r="328" spans="1:9" x14ac:dyDescent="0.2">
      <c r="A328" s="70">
        <v>44704</v>
      </c>
      <c r="B328" s="57">
        <v>2365</v>
      </c>
      <c r="C328" s="57">
        <v>1</v>
      </c>
      <c r="D328" s="57" t="s">
        <v>175</v>
      </c>
      <c r="E328" s="57">
        <v>1</v>
      </c>
      <c r="F328" s="57">
        <v>0.44579999999999997</v>
      </c>
      <c r="G328" s="57">
        <v>0.23799999999999999</v>
      </c>
      <c r="I328" s="33">
        <f t="shared" si="1"/>
        <v>0.873109243697479</v>
      </c>
    </row>
    <row r="329" spans="1:9" x14ac:dyDescent="0.2">
      <c r="A329" s="70">
        <v>44684</v>
      </c>
      <c r="B329" s="57">
        <v>2365</v>
      </c>
      <c r="C329" s="57">
        <v>3</v>
      </c>
      <c r="D329" s="57" t="s">
        <v>175</v>
      </c>
      <c r="E329" s="57">
        <v>1</v>
      </c>
      <c r="F329" s="57">
        <v>0.33829999999999999</v>
      </c>
      <c r="G329" s="57">
        <v>0.18049999999999999</v>
      </c>
      <c r="H329" s="57" t="s">
        <v>196</v>
      </c>
      <c r="I329" s="33">
        <f t="shared" si="1"/>
        <v>0.87423822714681443</v>
      </c>
    </row>
    <row r="330" spans="1:9" x14ac:dyDescent="0.2">
      <c r="A330" s="70">
        <v>44684</v>
      </c>
      <c r="B330" s="57">
        <v>2009</v>
      </c>
      <c r="C330" s="57">
        <v>2</v>
      </c>
      <c r="D330" s="57" t="s">
        <v>192</v>
      </c>
      <c r="E330" s="57">
        <v>0</v>
      </c>
      <c r="F330" s="57">
        <v>0.97499999999999998</v>
      </c>
      <c r="G330" s="57">
        <v>0.5202</v>
      </c>
      <c r="H330" s="57" t="s">
        <v>196</v>
      </c>
      <c r="I330" s="33">
        <f t="shared" si="1"/>
        <v>0.87427912341407144</v>
      </c>
    </row>
    <row r="331" spans="1:9" x14ac:dyDescent="0.2">
      <c r="A331" s="70">
        <v>44704</v>
      </c>
      <c r="B331" s="57">
        <v>2021</v>
      </c>
      <c r="C331" s="57">
        <v>2</v>
      </c>
      <c r="D331" s="57" t="s">
        <v>192</v>
      </c>
      <c r="E331" s="57">
        <v>0</v>
      </c>
      <c r="F331" s="57">
        <v>0.68600000000000005</v>
      </c>
      <c r="G331" s="57">
        <v>0.36599999999999999</v>
      </c>
      <c r="I331" s="33">
        <f t="shared" si="1"/>
        <v>0.87431693989071058</v>
      </c>
    </row>
    <row r="332" spans="1:9" x14ac:dyDescent="0.2">
      <c r="A332" s="70">
        <v>44690</v>
      </c>
      <c r="B332" s="57">
        <v>2030</v>
      </c>
      <c r="C332" s="57">
        <v>2</v>
      </c>
      <c r="D332" s="57" t="s">
        <v>192</v>
      </c>
      <c r="E332" s="57">
        <v>0</v>
      </c>
      <c r="F332" s="57">
        <v>2.4628999999999999</v>
      </c>
      <c r="G332" s="57">
        <v>1.3140000000000001</v>
      </c>
      <c r="I332" s="33">
        <f t="shared" si="1"/>
        <v>0.87435312024353107</v>
      </c>
    </row>
    <row r="333" spans="1:9" x14ac:dyDescent="0.2">
      <c r="A333" s="70">
        <v>44690</v>
      </c>
      <c r="B333" s="57">
        <v>2005</v>
      </c>
      <c r="C333" s="57">
        <v>2</v>
      </c>
      <c r="D333" s="57" t="s">
        <v>175</v>
      </c>
      <c r="E333" s="57">
        <v>1</v>
      </c>
      <c r="F333" s="57">
        <v>0.1106</v>
      </c>
      <c r="G333" s="57">
        <v>5.8999999999999997E-2</v>
      </c>
      <c r="I333" s="33">
        <f t="shared" si="1"/>
        <v>0.87457627118644088</v>
      </c>
    </row>
    <row r="334" spans="1:9" x14ac:dyDescent="0.2">
      <c r="A334" s="70">
        <v>44704</v>
      </c>
      <c r="B334" s="57">
        <v>2343</v>
      </c>
      <c r="C334" s="57">
        <v>3</v>
      </c>
      <c r="D334" s="57" t="s">
        <v>192</v>
      </c>
      <c r="E334" s="57">
        <v>0</v>
      </c>
      <c r="F334" s="57">
        <v>2.5116000000000001</v>
      </c>
      <c r="G334" s="57">
        <v>1.3398000000000001</v>
      </c>
      <c r="I334" s="33">
        <f t="shared" si="1"/>
        <v>0.87460815047021934</v>
      </c>
    </row>
    <row r="335" spans="1:9" x14ac:dyDescent="0.2">
      <c r="A335" s="70">
        <v>44662</v>
      </c>
      <c r="B335" s="57">
        <v>2091</v>
      </c>
      <c r="C335" s="57">
        <v>2</v>
      </c>
      <c r="D335" s="57" t="s">
        <v>175</v>
      </c>
      <c r="E335" s="57">
        <v>1</v>
      </c>
      <c r="F335" s="57">
        <v>0.40089999999999998</v>
      </c>
      <c r="G335" s="57">
        <v>0.21379999999999999</v>
      </c>
      <c r="H335" s="57" t="s">
        <v>191</v>
      </c>
      <c r="I335" s="33">
        <f t="shared" si="1"/>
        <v>0.87511693171188021</v>
      </c>
    </row>
    <row r="336" spans="1:9" x14ac:dyDescent="0.2">
      <c r="A336" s="70">
        <v>44706</v>
      </c>
      <c r="B336" s="57">
        <v>2372</v>
      </c>
      <c r="C336" s="57">
        <v>3</v>
      </c>
      <c r="D336" s="57" t="s">
        <v>192</v>
      </c>
      <c r="E336" s="57">
        <v>3</v>
      </c>
      <c r="F336" s="57">
        <v>1.4544999999999999</v>
      </c>
      <c r="G336" s="57">
        <v>0.77500000000000002</v>
      </c>
      <c r="H336" s="57" t="s">
        <v>193</v>
      </c>
      <c r="I336" s="33">
        <f t="shared" si="1"/>
        <v>0.87677419354838693</v>
      </c>
    </row>
    <row r="337" spans="1:9" x14ac:dyDescent="0.2">
      <c r="A337" s="70">
        <v>44690</v>
      </c>
      <c r="B337" s="57">
        <v>2007</v>
      </c>
      <c r="C337" s="57">
        <v>1</v>
      </c>
      <c r="D337" s="57" t="s">
        <v>192</v>
      </c>
      <c r="E337" s="57">
        <v>0</v>
      </c>
      <c r="F337" s="57">
        <v>0.44490000000000002</v>
      </c>
      <c r="G337" s="57">
        <v>0.23699999999999999</v>
      </c>
      <c r="I337" s="33">
        <f t="shared" si="1"/>
        <v>0.87721518987341784</v>
      </c>
    </row>
    <row r="338" spans="1:9" x14ac:dyDescent="0.2">
      <c r="A338" s="70">
        <v>44650</v>
      </c>
      <c r="B338" s="57">
        <v>2345</v>
      </c>
      <c r="C338" s="57">
        <v>3</v>
      </c>
      <c r="D338" s="57" t="s">
        <v>175</v>
      </c>
      <c r="E338" s="57" t="s">
        <v>60</v>
      </c>
      <c r="F338" s="57">
        <v>0.28549999999999998</v>
      </c>
      <c r="G338" s="57">
        <v>0.152</v>
      </c>
      <c r="H338" s="57" t="s">
        <v>191</v>
      </c>
      <c r="I338" s="33">
        <f t="shared" si="1"/>
        <v>0.8782894736842104</v>
      </c>
    </row>
    <row r="339" spans="1:9" x14ac:dyDescent="0.2">
      <c r="A339" s="70">
        <v>44708</v>
      </c>
      <c r="B339" s="57">
        <v>2004</v>
      </c>
      <c r="C339" s="57">
        <v>3</v>
      </c>
      <c r="D339" s="57" t="s">
        <v>175</v>
      </c>
      <c r="E339" s="57">
        <v>0</v>
      </c>
      <c r="F339" s="57">
        <v>6.2E-2</v>
      </c>
      <c r="G339" s="57">
        <v>3.3000000000000002E-2</v>
      </c>
      <c r="H339" s="57" t="s">
        <v>193</v>
      </c>
      <c r="I339" s="33">
        <f t="shared" si="1"/>
        <v>0.87878787878787867</v>
      </c>
    </row>
    <row r="340" spans="1:9" x14ac:dyDescent="0.2">
      <c r="A340" s="70">
        <v>44704</v>
      </c>
      <c r="B340" s="57">
        <v>2377</v>
      </c>
      <c r="C340" s="57">
        <v>3</v>
      </c>
      <c r="D340" s="57" t="s">
        <v>175</v>
      </c>
      <c r="E340" s="57">
        <v>1</v>
      </c>
      <c r="F340" s="57">
        <v>0.21609999999999999</v>
      </c>
      <c r="G340" s="57">
        <v>0.115</v>
      </c>
      <c r="I340" s="33">
        <f t="shared" si="1"/>
        <v>0.87913043478260855</v>
      </c>
    </row>
    <row r="341" spans="1:9" x14ac:dyDescent="0.2">
      <c r="A341" s="70">
        <v>44662</v>
      </c>
      <c r="B341" s="57">
        <v>2093</v>
      </c>
      <c r="C341" s="57">
        <v>1</v>
      </c>
      <c r="D341" s="57" t="s">
        <v>175</v>
      </c>
      <c r="E341" s="57">
        <v>1</v>
      </c>
      <c r="F341" s="57">
        <v>0.1996</v>
      </c>
      <c r="G341" s="57">
        <v>0.1062</v>
      </c>
      <c r="H341" s="57" t="s">
        <v>191</v>
      </c>
      <c r="I341" s="33">
        <f t="shared" si="1"/>
        <v>0.87947269303201503</v>
      </c>
    </row>
    <row r="342" spans="1:9" x14ac:dyDescent="0.2">
      <c r="A342" s="70">
        <v>44704</v>
      </c>
      <c r="B342" s="57">
        <v>2026</v>
      </c>
      <c r="C342" s="57">
        <v>2</v>
      </c>
      <c r="D342" s="57" t="s">
        <v>175</v>
      </c>
      <c r="E342" s="57">
        <v>1</v>
      </c>
      <c r="F342" s="57">
        <v>7.3300000000000004E-2</v>
      </c>
      <c r="G342" s="57">
        <v>3.9E-2</v>
      </c>
      <c r="I342" s="33">
        <f t="shared" si="1"/>
        <v>0.87948717948717958</v>
      </c>
    </row>
    <row r="343" spans="1:9" x14ac:dyDescent="0.2">
      <c r="A343" s="70">
        <v>44704</v>
      </c>
      <c r="B343" s="57">
        <v>2343</v>
      </c>
      <c r="C343" s="57">
        <v>3</v>
      </c>
      <c r="D343" s="57" t="s">
        <v>175</v>
      </c>
      <c r="E343" s="57">
        <v>1</v>
      </c>
      <c r="F343" s="57">
        <v>0.69920000000000004</v>
      </c>
      <c r="G343" s="57">
        <v>0.37190000000000001</v>
      </c>
      <c r="I343" s="33">
        <f t="shared" si="1"/>
        <v>0.88007528905619803</v>
      </c>
    </row>
    <row r="344" spans="1:9" x14ac:dyDescent="0.2">
      <c r="A344" s="70">
        <v>44708</v>
      </c>
      <c r="B344" s="57">
        <v>2008</v>
      </c>
      <c r="C344" s="57">
        <v>1</v>
      </c>
      <c r="D344" s="57" t="s">
        <v>192</v>
      </c>
      <c r="E344" s="57">
        <v>0</v>
      </c>
      <c r="F344" s="57">
        <v>0.48509999999999998</v>
      </c>
      <c r="G344" s="57">
        <v>0.25800000000000001</v>
      </c>
      <c r="H344" s="57" t="s">
        <v>193</v>
      </c>
      <c r="I344" s="33">
        <f t="shared" si="1"/>
        <v>0.88023255813953472</v>
      </c>
    </row>
    <row r="345" spans="1:9" x14ac:dyDescent="0.2">
      <c r="A345" s="70">
        <v>44706</v>
      </c>
      <c r="B345" s="57">
        <v>2371</v>
      </c>
      <c r="C345" s="57">
        <v>1</v>
      </c>
      <c r="D345" s="57" t="s">
        <v>175</v>
      </c>
      <c r="E345" s="57">
        <v>1</v>
      </c>
      <c r="F345" s="57">
        <v>0.28399999999999997</v>
      </c>
      <c r="G345" s="57">
        <v>0.151</v>
      </c>
      <c r="H345" s="57" t="s">
        <v>193</v>
      </c>
      <c r="I345" s="33">
        <f t="shared" si="1"/>
        <v>0.8807947019867548</v>
      </c>
    </row>
    <row r="346" spans="1:9" x14ac:dyDescent="0.2">
      <c r="A346" s="70">
        <v>44708</v>
      </c>
      <c r="B346" s="57">
        <v>2090</v>
      </c>
      <c r="C346" s="57">
        <v>2</v>
      </c>
      <c r="D346" s="57" t="s">
        <v>192</v>
      </c>
      <c r="E346" s="57">
        <v>0</v>
      </c>
      <c r="F346" s="57">
        <v>0.36499999999999999</v>
      </c>
      <c r="G346" s="57">
        <v>0.19400000000000001</v>
      </c>
      <c r="H346" s="57" t="s">
        <v>193</v>
      </c>
      <c r="I346" s="33">
        <f t="shared" si="1"/>
        <v>0.88144329896907203</v>
      </c>
    </row>
    <row r="347" spans="1:9" x14ac:dyDescent="0.2">
      <c r="A347" s="70">
        <v>44684</v>
      </c>
      <c r="B347" s="57">
        <v>2369</v>
      </c>
      <c r="C347" s="57">
        <v>1</v>
      </c>
      <c r="D347" s="57" t="s">
        <v>175</v>
      </c>
      <c r="E347" s="57">
        <v>1</v>
      </c>
      <c r="F347" s="57">
        <v>0.1613</v>
      </c>
      <c r="G347" s="57">
        <v>8.5699999999999998E-2</v>
      </c>
      <c r="H347" s="57" t="s">
        <v>196</v>
      </c>
      <c r="I347" s="33">
        <f t="shared" si="1"/>
        <v>0.882147024504084</v>
      </c>
    </row>
    <row r="348" spans="1:9" x14ac:dyDescent="0.2">
      <c r="A348" s="70">
        <v>44708</v>
      </c>
      <c r="B348" s="57">
        <v>2005</v>
      </c>
      <c r="C348" s="57">
        <v>3</v>
      </c>
      <c r="D348" s="57" t="s">
        <v>175</v>
      </c>
      <c r="E348" s="57">
        <v>0</v>
      </c>
      <c r="F348" s="57">
        <v>6.4000000000000001E-2</v>
      </c>
      <c r="G348" s="57">
        <v>3.4000000000000002E-2</v>
      </c>
      <c r="H348" s="57" t="s">
        <v>193</v>
      </c>
      <c r="I348" s="33">
        <f t="shared" si="1"/>
        <v>0.88235294117647045</v>
      </c>
    </row>
    <row r="349" spans="1:9" x14ac:dyDescent="0.2">
      <c r="A349" s="70">
        <v>44708</v>
      </c>
      <c r="B349" s="57">
        <v>2007</v>
      </c>
      <c r="C349" s="57">
        <v>1</v>
      </c>
      <c r="D349" s="57" t="s">
        <v>175</v>
      </c>
      <c r="E349" s="57">
        <v>1</v>
      </c>
      <c r="F349" s="57">
        <v>0.35210000000000002</v>
      </c>
      <c r="G349" s="57">
        <v>0.187</v>
      </c>
      <c r="H349" s="57" t="s">
        <v>193</v>
      </c>
      <c r="I349" s="33">
        <f t="shared" si="1"/>
        <v>0.88288770053475951</v>
      </c>
    </row>
    <row r="350" spans="1:9" x14ac:dyDescent="0.2">
      <c r="A350" s="70">
        <v>44684</v>
      </c>
      <c r="B350" s="57">
        <v>2367</v>
      </c>
      <c r="C350" s="57">
        <v>2</v>
      </c>
      <c r="D350" s="57" t="s">
        <v>175</v>
      </c>
      <c r="E350" s="57">
        <v>1</v>
      </c>
      <c r="F350" s="57">
        <v>0.1356</v>
      </c>
      <c r="G350" s="57">
        <v>7.1999999999999995E-2</v>
      </c>
      <c r="H350" s="57" t="s">
        <v>196</v>
      </c>
      <c r="I350" s="33">
        <f t="shared" si="1"/>
        <v>0.88333333333333341</v>
      </c>
    </row>
    <row r="351" spans="1:9" x14ac:dyDescent="0.2">
      <c r="A351" s="70">
        <v>44690</v>
      </c>
      <c r="B351" s="57">
        <v>2005</v>
      </c>
      <c r="C351" s="57">
        <v>3</v>
      </c>
      <c r="D351" s="57" t="s">
        <v>175</v>
      </c>
      <c r="E351" s="57">
        <v>1</v>
      </c>
      <c r="F351" s="57">
        <v>0.27500000000000002</v>
      </c>
      <c r="G351" s="57">
        <v>0.14599999999999999</v>
      </c>
      <c r="I351" s="33">
        <f t="shared" si="1"/>
        <v>0.88356164383561675</v>
      </c>
    </row>
    <row r="352" spans="1:9" x14ac:dyDescent="0.2">
      <c r="A352" s="70">
        <v>44704</v>
      </c>
      <c r="B352" s="57">
        <v>2026</v>
      </c>
      <c r="C352" s="57">
        <v>3</v>
      </c>
      <c r="D352" s="57" t="s">
        <v>192</v>
      </c>
      <c r="E352" s="57">
        <v>0</v>
      </c>
      <c r="F352" s="57">
        <v>1.8934</v>
      </c>
      <c r="G352" s="57">
        <v>1.0048999999999999</v>
      </c>
      <c r="I352" s="33">
        <f t="shared" si="1"/>
        <v>0.88416757886356867</v>
      </c>
    </row>
    <row r="353" spans="1:9" x14ac:dyDescent="0.2">
      <c r="A353" s="70">
        <v>44704</v>
      </c>
      <c r="B353" s="57">
        <v>2027</v>
      </c>
      <c r="C353" s="57">
        <v>2</v>
      </c>
      <c r="D353" s="57" t="s">
        <v>175</v>
      </c>
      <c r="E353" s="57">
        <v>1</v>
      </c>
      <c r="F353" s="57">
        <v>0.33789999999999998</v>
      </c>
      <c r="G353" s="57">
        <v>0.17929999999999999</v>
      </c>
      <c r="I353" s="33">
        <f t="shared" si="1"/>
        <v>0.88455103179029559</v>
      </c>
    </row>
    <row r="354" spans="1:9" x14ac:dyDescent="0.2">
      <c r="A354" s="70">
        <v>44708</v>
      </c>
      <c r="B354" s="57">
        <v>2087</v>
      </c>
      <c r="C354" s="57">
        <v>1</v>
      </c>
      <c r="D354" s="57" t="s">
        <v>192</v>
      </c>
      <c r="E354" s="57">
        <v>0</v>
      </c>
      <c r="F354" s="57">
        <v>1.361</v>
      </c>
      <c r="G354" s="57">
        <v>0.72199999999999998</v>
      </c>
      <c r="H354" s="57" t="s">
        <v>193</v>
      </c>
      <c r="I354" s="33">
        <f t="shared" si="1"/>
        <v>0.88504155124653749</v>
      </c>
    </row>
    <row r="355" spans="1:9" x14ac:dyDescent="0.2">
      <c r="A355" s="70">
        <v>44690</v>
      </c>
      <c r="B355" s="57">
        <v>2020</v>
      </c>
      <c r="C355" s="57">
        <v>1</v>
      </c>
      <c r="D355" s="57" t="s">
        <v>175</v>
      </c>
      <c r="E355" s="57">
        <v>0</v>
      </c>
      <c r="F355" s="57">
        <v>5.0900000000000001E-2</v>
      </c>
      <c r="G355" s="57">
        <v>2.7E-2</v>
      </c>
      <c r="I355" s="33">
        <f t="shared" si="1"/>
        <v>0.88518518518518519</v>
      </c>
    </row>
    <row r="356" spans="1:9" x14ac:dyDescent="0.2">
      <c r="A356" s="70">
        <v>44685</v>
      </c>
      <c r="B356" s="57">
        <v>2301</v>
      </c>
      <c r="C356" s="57">
        <v>3</v>
      </c>
      <c r="D356" s="57" t="s">
        <v>175</v>
      </c>
      <c r="E356" s="57">
        <v>1</v>
      </c>
      <c r="F356" s="57">
        <v>0.2319</v>
      </c>
      <c r="G356" s="57">
        <v>0.123</v>
      </c>
      <c r="I356" s="33">
        <f t="shared" si="1"/>
        <v>0.88536585365853659</v>
      </c>
    </row>
    <row r="357" spans="1:9" x14ac:dyDescent="0.2">
      <c r="A357" s="70">
        <v>44706</v>
      </c>
      <c r="B357" s="57">
        <v>2011</v>
      </c>
      <c r="C357" s="57">
        <v>1</v>
      </c>
      <c r="D357" s="57" t="s">
        <v>192</v>
      </c>
      <c r="E357" s="57">
        <v>0</v>
      </c>
      <c r="F357" s="57">
        <v>1.1200000000000001</v>
      </c>
      <c r="G357" s="57">
        <v>0.59399999999999997</v>
      </c>
      <c r="H357" s="57" t="s">
        <v>193</v>
      </c>
      <c r="I357" s="33">
        <f t="shared" si="1"/>
        <v>0.88552188552188582</v>
      </c>
    </row>
    <row r="358" spans="1:9" x14ac:dyDescent="0.2">
      <c r="A358" s="70">
        <v>44706</v>
      </c>
      <c r="B358" s="57">
        <v>2025</v>
      </c>
      <c r="C358" s="57">
        <v>1</v>
      </c>
      <c r="D358" s="57" t="s">
        <v>175</v>
      </c>
      <c r="E358" s="57">
        <v>1</v>
      </c>
      <c r="F358" s="57">
        <v>0.3715</v>
      </c>
      <c r="G358" s="57">
        <v>0.19700000000000001</v>
      </c>
      <c r="H358" s="57" t="s">
        <v>193</v>
      </c>
      <c r="I358" s="33">
        <f t="shared" si="1"/>
        <v>0.88578680203045679</v>
      </c>
    </row>
    <row r="359" spans="1:9" x14ac:dyDescent="0.2">
      <c r="A359" s="70">
        <v>44704</v>
      </c>
      <c r="B359" s="57">
        <v>2343</v>
      </c>
      <c r="C359" s="57">
        <v>1</v>
      </c>
      <c r="D359" s="57" t="s">
        <v>175</v>
      </c>
      <c r="E359" s="57">
        <v>1</v>
      </c>
      <c r="F359" s="57">
        <v>0.17519999999999999</v>
      </c>
      <c r="G359" s="57">
        <v>9.2899999999999996E-2</v>
      </c>
      <c r="I359" s="33">
        <f t="shared" si="1"/>
        <v>0.88589881593110875</v>
      </c>
    </row>
    <row r="360" spans="1:9" x14ac:dyDescent="0.2">
      <c r="A360" s="70">
        <v>44685</v>
      </c>
      <c r="B360" s="57">
        <v>2354</v>
      </c>
      <c r="C360" s="57">
        <v>2</v>
      </c>
      <c r="D360" s="57" t="s">
        <v>192</v>
      </c>
      <c r="E360" s="57">
        <v>0</v>
      </c>
      <c r="F360" s="57">
        <v>1.2975000000000001</v>
      </c>
      <c r="G360" s="57">
        <v>0.68799999999999994</v>
      </c>
      <c r="I360" s="33">
        <f t="shared" si="1"/>
        <v>0.88590116279069797</v>
      </c>
    </row>
    <row r="361" spans="1:9" x14ac:dyDescent="0.2">
      <c r="A361" s="70">
        <v>44704</v>
      </c>
      <c r="B361" s="57">
        <v>2376</v>
      </c>
      <c r="C361" s="57">
        <v>1</v>
      </c>
      <c r="D361" s="57" t="s">
        <v>175</v>
      </c>
      <c r="E361" s="57">
        <v>1</v>
      </c>
      <c r="F361" s="57">
        <v>9.4299999999999995E-2</v>
      </c>
      <c r="G361" s="57">
        <v>0.05</v>
      </c>
      <c r="I361" s="33">
        <f t="shared" si="1"/>
        <v>0.88599999999999979</v>
      </c>
    </row>
    <row r="362" spans="1:9" x14ac:dyDescent="0.2">
      <c r="A362" s="70">
        <v>44685</v>
      </c>
      <c r="B362" s="57">
        <v>2383</v>
      </c>
      <c r="C362" s="57">
        <v>2</v>
      </c>
      <c r="D362" s="57" t="s">
        <v>192</v>
      </c>
      <c r="E362" s="57">
        <v>0</v>
      </c>
      <c r="F362" s="57">
        <v>0.71499999999999997</v>
      </c>
      <c r="G362" s="57">
        <v>0.37909999999999999</v>
      </c>
      <c r="I362" s="33">
        <f t="shared" si="1"/>
        <v>0.88604589817989976</v>
      </c>
    </row>
    <row r="363" spans="1:9" x14ac:dyDescent="0.2">
      <c r="A363" s="70">
        <v>44685</v>
      </c>
      <c r="B363" s="57">
        <v>2383</v>
      </c>
      <c r="C363" s="57">
        <v>2</v>
      </c>
      <c r="D363" s="57" t="s">
        <v>175</v>
      </c>
      <c r="E363" s="57">
        <v>1</v>
      </c>
      <c r="F363" s="57">
        <v>0.12920000000000001</v>
      </c>
      <c r="G363" s="57">
        <v>6.8500000000000005E-2</v>
      </c>
      <c r="I363" s="33">
        <f t="shared" si="1"/>
        <v>0.88613138686131387</v>
      </c>
    </row>
    <row r="364" spans="1:9" x14ac:dyDescent="0.2">
      <c r="A364" s="70">
        <v>44706</v>
      </c>
      <c r="B364" s="57">
        <v>2371</v>
      </c>
      <c r="C364" s="57">
        <v>2</v>
      </c>
      <c r="D364" s="57" t="s">
        <v>192</v>
      </c>
      <c r="E364" s="57">
        <v>0</v>
      </c>
      <c r="F364" s="57">
        <v>0.53380000000000005</v>
      </c>
      <c r="G364" s="57">
        <v>0.28299999999999997</v>
      </c>
      <c r="H364" s="57" t="s">
        <v>193</v>
      </c>
      <c r="I364" s="33">
        <f t="shared" si="1"/>
        <v>0.88621908127208515</v>
      </c>
    </row>
    <row r="365" spans="1:9" x14ac:dyDescent="0.2">
      <c r="A365" s="70">
        <v>44684</v>
      </c>
      <c r="B365" s="57">
        <v>2081</v>
      </c>
      <c r="C365" s="57">
        <v>2</v>
      </c>
      <c r="D365" s="57" t="s">
        <v>175</v>
      </c>
      <c r="E365" s="57">
        <v>1</v>
      </c>
      <c r="F365" s="57">
        <v>0.30199999999999999</v>
      </c>
      <c r="G365" s="57">
        <v>0.16009999999999999</v>
      </c>
      <c r="H365" s="57" t="s">
        <v>196</v>
      </c>
      <c r="I365" s="33">
        <f t="shared" si="1"/>
        <v>0.88632104934415989</v>
      </c>
    </row>
    <row r="366" spans="1:9" x14ac:dyDescent="0.2">
      <c r="A366" s="70">
        <v>44650</v>
      </c>
      <c r="B366" s="57">
        <v>2376</v>
      </c>
      <c r="C366" s="57">
        <v>1</v>
      </c>
      <c r="D366" s="57" t="s">
        <v>175</v>
      </c>
      <c r="E366" s="57" t="s">
        <v>60</v>
      </c>
      <c r="F366" s="57">
        <v>0.34539999999999998</v>
      </c>
      <c r="G366" s="57">
        <v>0.183</v>
      </c>
      <c r="H366" s="57" t="s">
        <v>191</v>
      </c>
      <c r="I366" s="33">
        <f t="shared" si="1"/>
        <v>0.88743169398907096</v>
      </c>
    </row>
    <row r="367" spans="1:9" x14ac:dyDescent="0.2">
      <c r="A367" s="70">
        <v>44684</v>
      </c>
      <c r="B367" s="57">
        <v>2365</v>
      </c>
      <c r="C367" s="57">
        <v>2</v>
      </c>
      <c r="D367" s="57" t="s">
        <v>175</v>
      </c>
      <c r="E367" s="57">
        <v>1</v>
      </c>
      <c r="F367" s="57">
        <v>0.1148</v>
      </c>
      <c r="G367" s="57">
        <v>6.08E-2</v>
      </c>
      <c r="H367" s="57" t="s">
        <v>196</v>
      </c>
      <c r="I367" s="33">
        <f t="shared" si="1"/>
        <v>0.88815789473684215</v>
      </c>
    </row>
    <row r="368" spans="1:9" x14ac:dyDescent="0.2">
      <c r="A368" s="70">
        <v>44684</v>
      </c>
      <c r="B368" s="57">
        <v>2346</v>
      </c>
      <c r="C368" s="57">
        <v>2</v>
      </c>
      <c r="D368" s="57" t="s">
        <v>192</v>
      </c>
      <c r="E368" s="57">
        <v>0</v>
      </c>
      <c r="F368" s="57">
        <v>1.4549000000000001</v>
      </c>
      <c r="G368" s="57">
        <v>0.77049999999999996</v>
      </c>
      <c r="H368" s="57" t="s">
        <v>196</v>
      </c>
      <c r="I368" s="33">
        <f t="shared" si="1"/>
        <v>0.88825438027255044</v>
      </c>
    </row>
    <row r="369" spans="1:9" x14ac:dyDescent="0.2">
      <c r="A369" s="70">
        <v>44650</v>
      </c>
      <c r="B369" s="57">
        <v>2376</v>
      </c>
      <c r="C369" s="57">
        <v>2</v>
      </c>
      <c r="D369" s="57" t="s">
        <v>175</v>
      </c>
      <c r="E369" s="57" t="s">
        <v>60</v>
      </c>
      <c r="F369" s="57">
        <v>0.13220000000000001</v>
      </c>
      <c r="G369" s="57">
        <v>7.0000000000000007E-2</v>
      </c>
      <c r="H369" s="57" t="s">
        <v>191</v>
      </c>
      <c r="I369" s="33">
        <f t="shared" si="1"/>
        <v>0.88857142857142857</v>
      </c>
    </row>
    <row r="370" spans="1:9" x14ac:dyDescent="0.2">
      <c r="A370" s="70">
        <v>44690</v>
      </c>
      <c r="B370" s="57">
        <v>2028</v>
      </c>
      <c r="C370" s="57">
        <v>3</v>
      </c>
      <c r="D370" s="57" t="s">
        <v>192</v>
      </c>
      <c r="E370" s="57">
        <v>0</v>
      </c>
      <c r="F370" s="57">
        <v>1.6911</v>
      </c>
      <c r="G370" s="57">
        <v>0.89500000000000002</v>
      </c>
      <c r="I370" s="33">
        <f t="shared" si="1"/>
        <v>0.88949720670391064</v>
      </c>
    </row>
    <row r="371" spans="1:9" x14ac:dyDescent="0.2">
      <c r="A371" s="70">
        <v>44706</v>
      </c>
      <c r="B371" s="57">
        <v>2382</v>
      </c>
      <c r="C371" s="57">
        <v>2</v>
      </c>
      <c r="D371" s="57" t="s">
        <v>192</v>
      </c>
      <c r="E371" s="57">
        <v>0</v>
      </c>
      <c r="F371" s="57">
        <v>1.1546000000000001</v>
      </c>
      <c r="G371" s="57">
        <v>0.61099999999999999</v>
      </c>
      <c r="H371" s="57" t="s">
        <v>193</v>
      </c>
      <c r="I371" s="33">
        <f t="shared" si="1"/>
        <v>0.88968903436988556</v>
      </c>
    </row>
    <row r="372" spans="1:9" x14ac:dyDescent="0.2">
      <c r="A372" s="70">
        <v>44685</v>
      </c>
      <c r="B372" s="57">
        <v>2352</v>
      </c>
      <c r="C372" s="57">
        <v>2</v>
      </c>
      <c r="D372" s="57" t="s">
        <v>175</v>
      </c>
      <c r="E372" s="57">
        <v>1</v>
      </c>
      <c r="F372" s="57">
        <v>0.1565</v>
      </c>
      <c r="G372" s="57">
        <v>8.2799999999999999E-2</v>
      </c>
      <c r="I372" s="33">
        <f t="shared" si="1"/>
        <v>0.89009661835748799</v>
      </c>
    </row>
    <row r="373" spans="1:9" x14ac:dyDescent="0.2">
      <c r="A373" s="70">
        <v>44708</v>
      </c>
      <c r="B373" s="57">
        <v>2007</v>
      </c>
      <c r="C373" s="57">
        <v>3</v>
      </c>
      <c r="D373" s="57" t="s">
        <v>175</v>
      </c>
      <c r="E373" s="57">
        <v>1</v>
      </c>
      <c r="F373" s="57">
        <v>0.2666</v>
      </c>
      <c r="G373" s="57">
        <v>0.14099999999999999</v>
      </c>
      <c r="H373" s="57" t="s">
        <v>193</v>
      </c>
      <c r="I373" s="33">
        <f t="shared" si="1"/>
        <v>0.89078014184397181</v>
      </c>
    </row>
    <row r="374" spans="1:9" x14ac:dyDescent="0.2">
      <c r="A374" s="70">
        <v>44684</v>
      </c>
      <c r="B374" s="57">
        <v>2369</v>
      </c>
      <c r="C374" s="57">
        <v>2</v>
      </c>
      <c r="D374" s="57" t="s">
        <v>192</v>
      </c>
      <c r="E374" s="57">
        <v>0</v>
      </c>
      <c r="F374" s="57">
        <v>1.1453</v>
      </c>
      <c r="G374" s="57">
        <v>0.60560000000000003</v>
      </c>
      <c r="H374" s="57" t="s">
        <v>196</v>
      </c>
      <c r="I374" s="33">
        <f t="shared" si="1"/>
        <v>0.89118229854689557</v>
      </c>
    </row>
    <row r="375" spans="1:9" x14ac:dyDescent="0.2">
      <c r="A375" s="70">
        <v>44684</v>
      </c>
      <c r="B375" s="57">
        <v>2346</v>
      </c>
      <c r="C375" s="57">
        <v>3</v>
      </c>
      <c r="D375" s="57" t="s">
        <v>175</v>
      </c>
      <c r="E375" s="57">
        <v>1</v>
      </c>
      <c r="F375" s="57">
        <v>0.19370000000000001</v>
      </c>
      <c r="G375" s="57">
        <v>0.1024</v>
      </c>
      <c r="H375" s="57" t="s">
        <v>196</v>
      </c>
      <c r="I375" s="33">
        <f t="shared" si="1"/>
        <v>0.8916015625</v>
      </c>
    </row>
    <row r="376" spans="1:9" x14ac:dyDescent="0.2">
      <c r="A376" s="70">
        <v>44690</v>
      </c>
      <c r="B376" s="57">
        <v>2092</v>
      </c>
      <c r="C376" s="57">
        <v>2</v>
      </c>
      <c r="D376" s="57" t="s">
        <v>192</v>
      </c>
      <c r="E376" s="57">
        <v>0</v>
      </c>
      <c r="F376" s="57">
        <v>0.38400000000000001</v>
      </c>
      <c r="G376" s="57">
        <v>0.20300000000000001</v>
      </c>
      <c r="I376" s="33">
        <f t="shared" si="1"/>
        <v>0.89162561576354671</v>
      </c>
    </row>
    <row r="377" spans="1:9" x14ac:dyDescent="0.2">
      <c r="A377" s="70">
        <v>44706</v>
      </c>
      <c r="B377" s="57">
        <v>2347</v>
      </c>
      <c r="C377" s="57">
        <v>3</v>
      </c>
      <c r="D377" s="57" t="s">
        <v>175</v>
      </c>
      <c r="E377" s="57">
        <v>1</v>
      </c>
      <c r="F377" s="57">
        <v>0.2036</v>
      </c>
      <c r="G377" s="57">
        <v>0.1076</v>
      </c>
      <c r="H377" s="57" t="s">
        <v>193</v>
      </c>
      <c r="I377" s="33">
        <f t="shared" si="1"/>
        <v>0.89219330855018586</v>
      </c>
    </row>
    <row r="378" spans="1:9" x14ac:dyDescent="0.2">
      <c r="A378" s="70">
        <v>44685</v>
      </c>
      <c r="B378" s="57">
        <v>2010</v>
      </c>
      <c r="C378" s="57">
        <v>1</v>
      </c>
      <c r="D378" s="57" t="s">
        <v>175</v>
      </c>
      <c r="E378" s="57">
        <v>1</v>
      </c>
      <c r="F378" s="57">
        <v>0.2059</v>
      </c>
      <c r="G378" s="57">
        <v>0.10879999999999999</v>
      </c>
      <c r="I378" s="33">
        <f t="shared" si="1"/>
        <v>0.89246323529411775</v>
      </c>
    </row>
    <row r="379" spans="1:9" x14ac:dyDescent="0.2">
      <c r="A379" s="70">
        <v>44684</v>
      </c>
      <c r="B379" s="57">
        <v>2343</v>
      </c>
      <c r="C379" s="57">
        <v>3</v>
      </c>
      <c r="D379" s="57" t="s">
        <v>175</v>
      </c>
      <c r="E379" s="57">
        <v>1</v>
      </c>
      <c r="F379" s="57">
        <v>0.30740000000000001</v>
      </c>
      <c r="G379" s="57">
        <v>0.16239999999999999</v>
      </c>
      <c r="H379" s="57" t="s">
        <v>196</v>
      </c>
      <c r="I379" s="33">
        <f t="shared" si="1"/>
        <v>0.89285714285714302</v>
      </c>
    </row>
    <row r="380" spans="1:9" x14ac:dyDescent="0.2">
      <c r="A380" s="70">
        <v>44690</v>
      </c>
      <c r="B380" s="57">
        <v>2092</v>
      </c>
      <c r="C380" s="57">
        <v>3</v>
      </c>
      <c r="D380" s="57" t="s">
        <v>175</v>
      </c>
      <c r="E380" s="57">
        <v>1</v>
      </c>
      <c r="F380" s="57">
        <v>0.1988</v>
      </c>
      <c r="G380" s="57">
        <v>0.105</v>
      </c>
      <c r="I380" s="33">
        <f t="shared" si="1"/>
        <v>0.89333333333333342</v>
      </c>
    </row>
    <row r="381" spans="1:9" x14ac:dyDescent="0.2">
      <c r="A381" s="70">
        <v>44708</v>
      </c>
      <c r="B381" s="57">
        <v>2092</v>
      </c>
      <c r="C381" s="57">
        <v>2</v>
      </c>
      <c r="D381" s="57" t="s">
        <v>192</v>
      </c>
      <c r="E381" s="57">
        <v>0</v>
      </c>
      <c r="F381" s="57">
        <v>0.46400000000000002</v>
      </c>
      <c r="G381" s="57">
        <v>0.245</v>
      </c>
      <c r="H381" s="57" t="s">
        <v>193</v>
      </c>
      <c r="I381" s="33">
        <f t="shared" si="1"/>
        <v>0.89387755102040833</v>
      </c>
    </row>
    <row r="382" spans="1:9" x14ac:dyDescent="0.2">
      <c r="A382" s="70">
        <v>44708</v>
      </c>
      <c r="B382" s="57">
        <v>2086</v>
      </c>
      <c r="C382" s="57">
        <v>3</v>
      </c>
      <c r="D382" s="57" t="s">
        <v>192</v>
      </c>
      <c r="E382" s="57">
        <v>0</v>
      </c>
      <c r="F382" s="57">
        <v>1.589</v>
      </c>
      <c r="G382" s="57">
        <v>0.83899999999999997</v>
      </c>
      <c r="H382" s="57" t="s">
        <v>193</v>
      </c>
      <c r="I382" s="33">
        <f t="shared" si="1"/>
        <v>0.8939213349225269</v>
      </c>
    </row>
    <row r="383" spans="1:9" x14ac:dyDescent="0.2">
      <c r="A383" s="70">
        <v>44708</v>
      </c>
      <c r="B383" s="57">
        <v>2090</v>
      </c>
      <c r="C383" s="57">
        <v>1</v>
      </c>
      <c r="D383" s="57" t="s">
        <v>192</v>
      </c>
      <c r="E383" s="57">
        <v>0</v>
      </c>
      <c r="F383" s="57">
        <v>0.35799999999999998</v>
      </c>
      <c r="G383" s="57">
        <v>0.189</v>
      </c>
      <c r="H383" s="57" t="s">
        <v>193</v>
      </c>
      <c r="I383" s="33">
        <f t="shared" si="1"/>
        <v>0.89417989417989407</v>
      </c>
    </row>
    <row r="384" spans="1:9" x14ac:dyDescent="0.2">
      <c r="A384" s="70">
        <v>44706</v>
      </c>
      <c r="B384" s="57">
        <v>2010</v>
      </c>
      <c r="C384" s="57">
        <v>3</v>
      </c>
      <c r="D384" s="57" t="s">
        <v>175</v>
      </c>
      <c r="E384" s="57">
        <v>1</v>
      </c>
      <c r="F384" s="57">
        <v>0.67820000000000003</v>
      </c>
      <c r="G384" s="57">
        <v>0.35799999999999998</v>
      </c>
      <c r="H384" s="57" t="s">
        <v>193</v>
      </c>
      <c r="I384" s="33">
        <f t="shared" si="1"/>
        <v>0.89441340782122924</v>
      </c>
    </row>
    <row r="385" spans="1:9" x14ac:dyDescent="0.2">
      <c r="A385" s="70">
        <v>44684</v>
      </c>
      <c r="B385" s="57">
        <v>2364</v>
      </c>
      <c r="C385" s="57">
        <v>3</v>
      </c>
      <c r="D385" s="57" t="s">
        <v>175</v>
      </c>
      <c r="E385" s="57">
        <v>1</v>
      </c>
      <c r="F385" s="57">
        <v>0.29149999999999998</v>
      </c>
      <c r="G385" s="57">
        <v>0.15379999999999999</v>
      </c>
      <c r="H385" s="57" t="s">
        <v>196</v>
      </c>
      <c r="I385" s="33">
        <f t="shared" si="1"/>
        <v>0.89531859557867355</v>
      </c>
    </row>
    <row r="386" spans="1:9" x14ac:dyDescent="0.2">
      <c r="A386" s="70">
        <v>44706</v>
      </c>
      <c r="B386" s="57">
        <v>2372</v>
      </c>
      <c r="C386" s="57">
        <v>1</v>
      </c>
      <c r="D386" s="57" t="s">
        <v>192</v>
      </c>
      <c r="E386" s="57">
        <v>0</v>
      </c>
      <c r="F386" s="57">
        <v>1.0994999999999999</v>
      </c>
      <c r="G386" s="57">
        <v>0.57999999999999996</v>
      </c>
      <c r="H386" s="57" t="s">
        <v>193</v>
      </c>
      <c r="I386" s="33">
        <f t="shared" si="1"/>
        <v>0.89568965517241383</v>
      </c>
    </row>
    <row r="387" spans="1:9" x14ac:dyDescent="0.2">
      <c r="A387" s="70">
        <v>44690</v>
      </c>
      <c r="B387" s="57">
        <v>2015</v>
      </c>
      <c r="C387" s="57">
        <v>1</v>
      </c>
      <c r="D387" s="57" t="s">
        <v>192</v>
      </c>
      <c r="E387" s="57">
        <v>0</v>
      </c>
      <c r="F387" s="57">
        <v>0.35449999999999998</v>
      </c>
      <c r="G387" s="57">
        <v>0.187</v>
      </c>
      <c r="I387" s="33">
        <f t="shared" si="1"/>
        <v>0.89572192513368976</v>
      </c>
    </row>
    <row r="388" spans="1:9" x14ac:dyDescent="0.2">
      <c r="A388" s="70">
        <v>44704</v>
      </c>
      <c r="B388" s="57">
        <v>2030</v>
      </c>
      <c r="C388" s="57">
        <v>3</v>
      </c>
      <c r="D388" s="57" t="s">
        <v>175</v>
      </c>
      <c r="E388" s="57">
        <v>1</v>
      </c>
      <c r="F388" s="57">
        <v>0.75270000000000004</v>
      </c>
      <c r="G388" s="57">
        <v>0.39700000000000002</v>
      </c>
      <c r="I388" s="33">
        <f t="shared" si="1"/>
        <v>0.89596977329974814</v>
      </c>
    </row>
    <row r="389" spans="1:9" x14ac:dyDescent="0.2">
      <c r="A389" s="70">
        <v>44704</v>
      </c>
      <c r="B389" s="57">
        <v>2029</v>
      </c>
      <c r="C389" s="57">
        <v>1</v>
      </c>
      <c r="D389" s="57" t="s">
        <v>175</v>
      </c>
      <c r="E389" s="57">
        <v>1</v>
      </c>
      <c r="F389" s="57">
        <v>0.25219999999999998</v>
      </c>
      <c r="G389" s="57">
        <v>0.13300000000000001</v>
      </c>
      <c r="I389" s="33">
        <f t="shared" si="1"/>
        <v>0.89624060150375917</v>
      </c>
    </row>
    <row r="390" spans="1:9" x14ac:dyDescent="0.2">
      <c r="A390" s="70">
        <v>44690</v>
      </c>
      <c r="B390" s="57">
        <v>2005</v>
      </c>
      <c r="C390" s="57">
        <v>3</v>
      </c>
      <c r="D390" s="57" t="s">
        <v>175</v>
      </c>
      <c r="E390" s="57">
        <v>1</v>
      </c>
      <c r="F390" s="57">
        <v>0.1024</v>
      </c>
      <c r="G390" s="57">
        <v>5.3999999999999999E-2</v>
      </c>
      <c r="I390" s="33">
        <f t="shared" si="1"/>
        <v>0.89629629629629637</v>
      </c>
    </row>
    <row r="391" spans="1:9" x14ac:dyDescent="0.2">
      <c r="A391" s="70">
        <v>44685</v>
      </c>
      <c r="B391" s="57">
        <v>2377</v>
      </c>
      <c r="C391" s="57">
        <v>2</v>
      </c>
      <c r="D391" s="57" t="s">
        <v>175</v>
      </c>
      <c r="E391" s="57">
        <v>1</v>
      </c>
      <c r="F391" s="57">
        <v>0.34229999999999999</v>
      </c>
      <c r="G391" s="57">
        <v>0.18049999999999999</v>
      </c>
      <c r="I391" s="33">
        <f t="shared" si="1"/>
        <v>0.89639889196675904</v>
      </c>
    </row>
    <row r="392" spans="1:9" x14ac:dyDescent="0.2">
      <c r="A392" s="70">
        <v>44706</v>
      </c>
      <c r="B392" s="57">
        <v>2371</v>
      </c>
      <c r="C392" s="57">
        <v>1</v>
      </c>
      <c r="D392" s="57" t="s">
        <v>192</v>
      </c>
      <c r="E392" s="57">
        <v>0</v>
      </c>
      <c r="F392" s="57">
        <v>1.7125999999999999</v>
      </c>
      <c r="G392" s="57">
        <v>0.90300000000000002</v>
      </c>
      <c r="H392" s="57" t="s">
        <v>193</v>
      </c>
      <c r="I392" s="33">
        <f t="shared" si="1"/>
        <v>0.89656699889258018</v>
      </c>
    </row>
    <row r="393" spans="1:9" x14ac:dyDescent="0.2">
      <c r="A393" s="70">
        <v>44685</v>
      </c>
      <c r="B393" s="57">
        <v>2379</v>
      </c>
      <c r="C393" s="57">
        <v>1</v>
      </c>
      <c r="D393" s="57" t="s">
        <v>192</v>
      </c>
      <c r="E393" s="57">
        <v>0</v>
      </c>
      <c r="F393" s="57">
        <v>1.0209999999999999</v>
      </c>
      <c r="G393" s="57">
        <v>0.53790000000000004</v>
      </c>
      <c r="I393" s="33">
        <f t="shared" si="1"/>
        <v>0.89812232757017996</v>
      </c>
    </row>
    <row r="394" spans="1:9" x14ac:dyDescent="0.2">
      <c r="A394" s="70">
        <v>44665</v>
      </c>
      <c r="B394" s="57">
        <v>2360</v>
      </c>
      <c r="C394" s="57">
        <v>1</v>
      </c>
      <c r="D394" s="57" t="s">
        <v>175</v>
      </c>
      <c r="E394" s="57">
        <v>1</v>
      </c>
      <c r="F394" s="57">
        <v>4.6699999999999998E-2</v>
      </c>
      <c r="G394" s="57">
        <v>2.46E-2</v>
      </c>
      <c r="H394" s="57" t="s">
        <v>191</v>
      </c>
      <c r="I394" s="33">
        <f t="shared" si="1"/>
        <v>0.89837398373983735</v>
      </c>
    </row>
    <row r="395" spans="1:9" x14ac:dyDescent="0.2">
      <c r="A395" s="70">
        <v>44650</v>
      </c>
      <c r="B395" s="57">
        <v>2331</v>
      </c>
      <c r="C395" s="57">
        <v>3</v>
      </c>
      <c r="D395" s="57" t="s">
        <v>175</v>
      </c>
      <c r="E395" s="57" t="s">
        <v>60</v>
      </c>
      <c r="F395" s="57">
        <v>0.16900000000000001</v>
      </c>
      <c r="G395" s="57">
        <v>8.8999999999999996E-2</v>
      </c>
      <c r="H395" s="57" t="s">
        <v>191</v>
      </c>
      <c r="I395" s="33">
        <f t="shared" si="1"/>
        <v>0.89887640449438222</v>
      </c>
    </row>
    <row r="396" spans="1:9" x14ac:dyDescent="0.2">
      <c r="A396" s="70">
        <v>44685</v>
      </c>
      <c r="B396" s="57">
        <v>2301</v>
      </c>
      <c r="C396" s="57">
        <v>1</v>
      </c>
      <c r="D396" s="57" t="s">
        <v>175</v>
      </c>
      <c r="E396" s="57">
        <v>1</v>
      </c>
      <c r="F396" s="57">
        <v>0.58620000000000005</v>
      </c>
      <c r="G396" s="57">
        <v>0.30869999999999997</v>
      </c>
      <c r="I396" s="33">
        <f t="shared" si="1"/>
        <v>0.89893100097181766</v>
      </c>
    </row>
    <row r="397" spans="1:9" x14ac:dyDescent="0.2">
      <c r="A397" s="70">
        <v>44685</v>
      </c>
      <c r="B397" s="57">
        <v>2383</v>
      </c>
      <c r="C397" s="57">
        <v>3</v>
      </c>
      <c r="D397" s="57" t="s">
        <v>175</v>
      </c>
      <c r="E397" s="57">
        <v>1</v>
      </c>
      <c r="F397" s="57">
        <v>0.19259999999999999</v>
      </c>
      <c r="G397" s="57">
        <v>0.1014</v>
      </c>
      <c r="I397" s="33">
        <f t="shared" si="1"/>
        <v>0.89940828402366846</v>
      </c>
    </row>
    <row r="398" spans="1:9" x14ac:dyDescent="0.2">
      <c r="A398" s="70">
        <v>44704</v>
      </c>
      <c r="B398" s="57">
        <v>2022</v>
      </c>
      <c r="C398" s="57">
        <v>3</v>
      </c>
      <c r="D398" s="57" t="s">
        <v>175</v>
      </c>
      <c r="E398" s="57">
        <v>1</v>
      </c>
      <c r="F398" s="57">
        <v>0.33050000000000002</v>
      </c>
      <c r="G398" s="57">
        <v>0.17399999999999999</v>
      </c>
      <c r="I398" s="33">
        <f t="shared" si="1"/>
        <v>0.8994252873563221</v>
      </c>
    </row>
    <row r="399" spans="1:9" x14ac:dyDescent="0.2">
      <c r="A399" s="70">
        <v>44706</v>
      </c>
      <c r="B399" s="57">
        <v>2369</v>
      </c>
      <c r="C399" s="57">
        <v>1</v>
      </c>
      <c r="D399" s="57" t="s">
        <v>192</v>
      </c>
      <c r="E399" s="57">
        <v>0</v>
      </c>
      <c r="F399" s="57">
        <v>1.0829</v>
      </c>
      <c r="G399" s="57">
        <v>0.56999999999999995</v>
      </c>
      <c r="H399" s="57" t="s">
        <v>193</v>
      </c>
      <c r="I399" s="33">
        <f t="shared" si="1"/>
        <v>0.89982456140350886</v>
      </c>
    </row>
    <row r="400" spans="1:9" x14ac:dyDescent="0.2">
      <c r="A400" s="70">
        <v>44708</v>
      </c>
      <c r="B400" s="57">
        <v>2093</v>
      </c>
      <c r="C400" s="57">
        <v>3</v>
      </c>
      <c r="D400" s="57" t="s">
        <v>175</v>
      </c>
      <c r="E400" s="57">
        <v>0</v>
      </c>
      <c r="F400" s="57">
        <v>5.7000000000000002E-2</v>
      </c>
      <c r="G400" s="57">
        <v>0.03</v>
      </c>
      <c r="H400" s="57" t="s">
        <v>193</v>
      </c>
      <c r="I400" s="33">
        <f t="shared" si="1"/>
        <v>0.90000000000000013</v>
      </c>
    </row>
    <row r="401" spans="1:9" x14ac:dyDescent="0.2">
      <c r="A401" s="70">
        <v>44706</v>
      </c>
      <c r="B401" s="57">
        <v>2369</v>
      </c>
      <c r="C401" s="57">
        <v>2</v>
      </c>
      <c r="D401" s="57" t="s">
        <v>192</v>
      </c>
      <c r="E401" s="57">
        <v>0</v>
      </c>
      <c r="F401" s="57">
        <v>1.7319</v>
      </c>
      <c r="G401" s="57">
        <v>0.91100000000000003</v>
      </c>
      <c r="H401" s="57" t="s">
        <v>193</v>
      </c>
      <c r="I401" s="33">
        <f t="shared" si="1"/>
        <v>0.90109769484083413</v>
      </c>
    </row>
    <row r="402" spans="1:9" x14ac:dyDescent="0.2">
      <c r="A402" s="70">
        <v>44704</v>
      </c>
      <c r="B402" s="57">
        <v>2365</v>
      </c>
      <c r="C402" s="57">
        <v>2</v>
      </c>
      <c r="D402" s="57" t="s">
        <v>175</v>
      </c>
      <c r="E402" s="57">
        <v>1</v>
      </c>
      <c r="F402" s="57">
        <v>0.32890000000000003</v>
      </c>
      <c r="G402" s="57">
        <v>0.17299999999999999</v>
      </c>
      <c r="I402" s="33">
        <f t="shared" si="1"/>
        <v>0.90115606936416215</v>
      </c>
    </row>
    <row r="403" spans="1:9" x14ac:dyDescent="0.2">
      <c r="A403" s="70">
        <v>44684</v>
      </c>
      <c r="B403" s="57">
        <v>2367</v>
      </c>
      <c r="C403" s="57">
        <v>3</v>
      </c>
      <c r="D403" s="57" t="s">
        <v>175</v>
      </c>
      <c r="E403" s="57">
        <v>1</v>
      </c>
      <c r="F403" s="57">
        <v>0.15040000000000001</v>
      </c>
      <c r="G403" s="57">
        <v>7.9100000000000004E-2</v>
      </c>
      <c r="H403" s="57" t="s">
        <v>196</v>
      </c>
      <c r="I403" s="33">
        <f t="shared" si="1"/>
        <v>0.90139064475347663</v>
      </c>
    </row>
    <row r="404" spans="1:9" x14ac:dyDescent="0.2">
      <c r="A404" s="70">
        <v>44690</v>
      </c>
      <c r="B404" s="57">
        <v>2028</v>
      </c>
      <c r="C404" s="57">
        <v>2</v>
      </c>
      <c r="D404" s="57" t="s">
        <v>175</v>
      </c>
      <c r="E404" s="57">
        <v>1</v>
      </c>
      <c r="F404" s="57">
        <v>0.20730000000000001</v>
      </c>
      <c r="G404" s="57">
        <v>0.109</v>
      </c>
      <c r="I404" s="33">
        <f t="shared" si="1"/>
        <v>0.90183486238532118</v>
      </c>
    </row>
    <row r="405" spans="1:9" x14ac:dyDescent="0.2">
      <c r="A405" s="70">
        <v>44690</v>
      </c>
      <c r="B405" s="57">
        <v>2015</v>
      </c>
      <c r="C405" s="57">
        <v>3</v>
      </c>
      <c r="D405" s="57" t="s">
        <v>192</v>
      </c>
      <c r="E405" s="57">
        <v>0</v>
      </c>
      <c r="F405" s="57">
        <v>0.66790000000000005</v>
      </c>
      <c r="G405" s="57">
        <v>0.35099999999999998</v>
      </c>
      <c r="I405" s="33">
        <f t="shared" si="1"/>
        <v>0.90284900284900316</v>
      </c>
    </row>
    <row r="406" spans="1:9" x14ac:dyDescent="0.2">
      <c r="A406" s="70">
        <v>44650</v>
      </c>
      <c r="B406" s="57">
        <v>2380</v>
      </c>
      <c r="C406" s="57">
        <v>2</v>
      </c>
      <c r="D406" s="57" t="s">
        <v>175</v>
      </c>
      <c r="E406" s="57" t="s">
        <v>60</v>
      </c>
      <c r="F406" s="57">
        <v>0.74609999999999999</v>
      </c>
      <c r="G406" s="57">
        <v>0.39200000000000002</v>
      </c>
      <c r="H406" s="57" t="s">
        <v>191</v>
      </c>
      <c r="I406" s="33">
        <f t="shared" si="1"/>
        <v>0.90331632653061211</v>
      </c>
    </row>
    <row r="407" spans="1:9" x14ac:dyDescent="0.2">
      <c r="A407" s="70">
        <v>44704</v>
      </c>
      <c r="B407" s="57">
        <v>2031</v>
      </c>
      <c r="C407" s="57">
        <v>2</v>
      </c>
      <c r="D407" s="57" t="s">
        <v>175</v>
      </c>
      <c r="E407" s="57">
        <v>1</v>
      </c>
      <c r="F407" s="57">
        <v>0.30780000000000002</v>
      </c>
      <c r="G407" s="57">
        <v>0.16170000000000001</v>
      </c>
      <c r="I407" s="33">
        <f t="shared" si="1"/>
        <v>0.90352504638218922</v>
      </c>
    </row>
    <row r="408" spans="1:9" x14ac:dyDescent="0.2">
      <c r="A408" s="70">
        <v>44708</v>
      </c>
      <c r="B408" s="57">
        <v>2089</v>
      </c>
      <c r="C408" s="57">
        <v>2</v>
      </c>
      <c r="D408" s="57" t="s">
        <v>175</v>
      </c>
      <c r="E408" s="57">
        <v>1</v>
      </c>
      <c r="F408" s="57">
        <v>0.41499999999999998</v>
      </c>
      <c r="G408" s="57">
        <v>0.218</v>
      </c>
      <c r="H408" s="57" t="s">
        <v>193</v>
      </c>
      <c r="I408" s="33">
        <f t="shared" si="1"/>
        <v>0.90366972477064211</v>
      </c>
    </row>
    <row r="409" spans="1:9" x14ac:dyDescent="0.2">
      <c r="A409" s="70">
        <v>44708</v>
      </c>
      <c r="B409" s="57">
        <v>2007</v>
      </c>
      <c r="C409" s="57">
        <v>2</v>
      </c>
      <c r="D409" s="57" t="s">
        <v>175</v>
      </c>
      <c r="E409" s="57">
        <v>1</v>
      </c>
      <c r="F409" s="57">
        <v>0.31030000000000002</v>
      </c>
      <c r="G409" s="57">
        <v>0.16300000000000001</v>
      </c>
      <c r="H409" s="57" t="s">
        <v>193</v>
      </c>
      <c r="I409" s="33">
        <f t="shared" si="1"/>
        <v>0.90368098159509203</v>
      </c>
    </row>
    <row r="410" spans="1:9" x14ac:dyDescent="0.2">
      <c r="A410" s="70">
        <v>44706</v>
      </c>
      <c r="B410" s="57">
        <v>2371</v>
      </c>
      <c r="C410" s="57">
        <v>3</v>
      </c>
      <c r="D410" s="57" t="s">
        <v>192</v>
      </c>
      <c r="E410" s="57">
        <v>0</v>
      </c>
      <c r="F410" s="57">
        <v>0.4209</v>
      </c>
      <c r="G410" s="57">
        <v>0.221</v>
      </c>
      <c r="H410" s="57" t="s">
        <v>193</v>
      </c>
      <c r="I410" s="33">
        <f t="shared" si="1"/>
        <v>0.90452488687782806</v>
      </c>
    </row>
    <row r="411" spans="1:9" x14ac:dyDescent="0.2">
      <c r="A411" s="70">
        <v>44706</v>
      </c>
      <c r="B411" s="57">
        <v>2381</v>
      </c>
      <c r="C411" s="57">
        <v>3</v>
      </c>
      <c r="D411" s="57" t="s">
        <v>192</v>
      </c>
      <c r="E411" s="57">
        <v>0</v>
      </c>
      <c r="F411" s="57">
        <v>1.0952</v>
      </c>
      <c r="G411" s="57">
        <v>0.57499999999999996</v>
      </c>
      <c r="H411" s="57" t="s">
        <v>193</v>
      </c>
      <c r="I411" s="33">
        <f t="shared" si="1"/>
        <v>0.90469565217391312</v>
      </c>
    </row>
    <row r="412" spans="1:9" x14ac:dyDescent="0.2">
      <c r="A412" s="70">
        <v>44684</v>
      </c>
      <c r="B412" s="57">
        <v>2010</v>
      </c>
      <c r="C412" s="57">
        <v>2</v>
      </c>
      <c r="D412" s="57" t="s">
        <v>175</v>
      </c>
      <c r="E412" s="57">
        <v>1</v>
      </c>
      <c r="F412" s="57">
        <v>0.18190000000000001</v>
      </c>
      <c r="G412" s="57">
        <v>9.5500000000000002E-2</v>
      </c>
      <c r="H412" s="57" t="s">
        <v>196</v>
      </c>
      <c r="I412" s="33">
        <f t="shared" si="1"/>
        <v>0.9047120418848168</v>
      </c>
    </row>
    <row r="413" spans="1:9" x14ac:dyDescent="0.2">
      <c r="A413" s="70">
        <v>44665</v>
      </c>
      <c r="B413" s="57">
        <v>2351</v>
      </c>
      <c r="C413" s="57">
        <v>1</v>
      </c>
      <c r="D413" s="57" t="s">
        <v>175</v>
      </c>
      <c r="E413" s="57">
        <v>1</v>
      </c>
      <c r="F413" s="57">
        <v>0.30630000000000002</v>
      </c>
      <c r="G413" s="57">
        <v>0.1608</v>
      </c>
      <c r="H413" s="57" t="s">
        <v>191</v>
      </c>
      <c r="I413" s="33">
        <f t="shared" si="1"/>
        <v>0.9048507462686568</v>
      </c>
    </row>
    <row r="414" spans="1:9" x14ac:dyDescent="0.2">
      <c r="A414" s="70">
        <v>44665</v>
      </c>
      <c r="B414" s="57">
        <v>2377</v>
      </c>
      <c r="C414" s="57">
        <v>3</v>
      </c>
      <c r="D414" s="57" t="s">
        <v>175</v>
      </c>
      <c r="E414" s="57">
        <v>1</v>
      </c>
      <c r="F414" s="57">
        <v>0.41170000000000001</v>
      </c>
      <c r="G414" s="57">
        <v>0.216</v>
      </c>
      <c r="H414" s="57" t="s">
        <v>191</v>
      </c>
      <c r="I414" s="33">
        <f t="shared" si="1"/>
        <v>0.90601851851851856</v>
      </c>
    </row>
    <row r="415" spans="1:9" x14ac:dyDescent="0.2">
      <c r="A415" s="70">
        <v>44690</v>
      </c>
      <c r="B415" s="57">
        <v>2030</v>
      </c>
      <c r="C415" s="57">
        <v>1</v>
      </c>
      <c r="D415" s="57" t="s">
        <v>175</v>
      </c>
      <c r="E415" s="57">
        <v>1</v>
      </c>
      <c r="F415" s="57">
        <v>0.46700000000000003</v>
      </c>
      <c r="G415" s="57">
        <v>0.245</v>
      </c>
      <c r="I415" s="33">
        <f t="shared" si="1"/>
        <v>0.90612244897959193</v>
      </c>
    </row>
    <row r="416" spans="1:9" x14ac:dyDescent="0.2">
      <c r="A416" s="70">
        <v>44690</v>
      </c>
      <c r="B416" s="57">
        <v>2020</v>
      </c>
      <c r="C416" s="57">
        <v>1</v>
      </c>
      <c r="D416" s="57" t="s">
        <v>192</v>
      </c>
      <c r="E416" s="57">
        <v>0</v>
      </c>
      <c r="F416" s="57">
        <v>1.0808</v>
      </c>
      <c r="G416" s="57">
        <v>0.56699999999999995</v>
      </c>
      <c r="I416" s="33">
        <f t="shared" si="1"/>
        <v>0.906172839506173</v>
      </c>
    </row>
    <row r="417" spans="1:9" x14ac:dyDescent="0.2">
      <c r="A417" s="70">
        <v>44690</v>
      </c>
      <c r="B417" s="57">
        <v>2031</v>
      </c>
      <c r="C417" s="57">
        <v>3</v>
      </c>
      <c r="D417" s="57" t="s">
        <v>192</v>
      </c>
      <c r="E417" s="57">
        <v>0</v>
      </c>
      <c r="F417" s="57">
        <v>1.4773000000000001</v>
      </c>
      <c r="G417" s="57">
        <v>0.77500000000000002</v>
      </c>
      <c r="I417" s="33">
        <f t="shared" si="1"/>
        <v>0.90619354838709676</v>
      </c>
    </row>
    <row r="418" spans="1:9" x14ac:dyDescent="0.2">
      <c r="A418" s="70">
        <v>44684</v>
      </c>
      <c r="B418" s="57">
        <v>2343</v>
      </c>
      <c r="C418" s="57">
        <v>3</v>
      </c>
      <c r="D418" s="57" t="s">
        <v>192</v>
      </c>
      <c r="E418" s="57">
        <v>0</v>
      </c>
      <c r="F418" s="57">
        <v>2.4119000000000002</v>
      </c>
      <c r="G418" s="57">
        <v>1.2649999999999999</v>
      </c>
      <c r="H418" s="57" t="s">
        <v>196</v>
      </c>
      <c r="I418" s="33">
        <f t="shared" si="1"/>
        <v>0.90664031620553387</v>
      </c>
    </row>
    <row r="419" spans="1:9" x14ac:dyDescent="0.2">
      <c r="A419" s="70">
        <v>44690</v>
      </c>
      <c r="B419" s="57">
        <v>2020</v>
      </c>
      <c r="C419" s="57">
        <v>3</v>
      </c>
      <c r="D419" s="57" t="s">
        <v>192</v>
      </c>
      <c r="E419" s="57">
        <v>0</v>
      </c>
      <c r="F419" s="57">
        <v>0.76280000000000003</v>
      </c>
      <c r="G419" s="57">
        <v>0.4</v>
      </c>
      <c r="I419" s="33">
        <f t="shared" si="1"/>
        <v>0.90700000000000003</v>
      </c>
    </row>
    <row r="420" spans="1:9" x14ac:dyDescent="0.2">
      <c r="A420" s="70">
        <v>44708</v>
      </c>
      <c r="B420" s="57">
        <v>2008</v>
      </c>
      <c r="C420" s="57">
        <v>2</v>
      </c>
      <c r="D420" s="57" t="s">
        <v>175</v>
      </c>
      <c r="E420" s="57">
        <v>1</v>
      </c>
      <c r="F420" s="57">
        <v>2.29E-2</v>
      </c>
      <c r="G420" s="57">
        <v>1.2E-2</v>
      </c>
      <c r="H420" s="57" t="s">
        <v>193</v>
      </c>
      <c r="I420" s="33">
        <f t="shared" si="1"/>
        <v>0.90833333333333333</v>
      </c>
    </row>
    <row r="421" spans="1:9" x14ac:dyDescent="0.2">
      <c r="A421" s="70">
        <v>44665</v>
      </c>
      <c r="B421" s="57">
        <v>2377</v>
      </c>
      <c r="C421" s="57">
        <v>2</v>
      </c>
      <c r="D421" s="57" t="s">
        <v>175</v>
      </c>
      <c r="E421" s="57">
        <v>1</v>
      </c>
      <c r="F421" s="57">
        <v>0.62150000000000005</v>
      </c>
      <c r="G421" s="57">
        <v>0.3256</v>
      </c>
      <c r="H421" s="57" t="s">
        <v>191</v>
      </c>
      <c r="I421" s="33">
        <f t="shared" si="1"/>
        <v>0.90878378378378399</v>
      </c>
    </row>
    <row r="422" spans="1:9" x14ac:dyDescent="0.2">
      <c r="A422" s="70">
        <v>44708</v>
      </c>
      <c r="B422" s="57">
        <v>2085</v>
      </c>
      <c r="C422" s="57">
        <v>2</v>
      </c>
      <c r="D422" s="57" t="s">
        <v>192</v>
      </c>
      <c r="E422" s="57">
        <v>0</v>
      </c>
      <c r="F422" s="57">
        <v>1.258</v>
      </c>
      <c r="G422" s="57">
        <v>0.65900000000000003</v>
      </c>
      <c r="H422" s="57" t="s">
        <v>193</v>
      </c>
      <c r="I422" s="33">
        <f t="shared" si="1"/>
        <v>0.90895295902883144</v>
      </c>
    </row>
    <row r="423" spans="1:9" x14ac:dyDescent="0.2">
      <c r="A423" s="70">
        <v>44708</v>
      </c>
      <c r="B423" s="57">
        <v>1478</v>
      </c>
      <c r="C423" s="57">
        <v>3</v>
      </c>
      <c r="D423" s="57" t="s">
        <v>192</v>
      </c>
      <c r="E423" s="57">
        <v>0</v>
      </c>
      <c r="F423" s="57">
        <v>1.22</v>
      </c>
      <c r="G423" s="57">
        <v>0.63900000000000001</v>
      </c>
      <c r="H423" s="57" t="s">
        <v>193</v>
      </c>
      <c r="I423" s="33">
        <f t="shared" si="1"/>
        <v>0.90923317683881055</v>
      </c>
    </row>
    <row r="424" spans="1:9" x14ac:dyDescent="0.2">
      <c r="A424" s="70">
        <v>44706</v>
      </c>
      <c r="B424" s="57">
        <v>2331</v>
      </c>
      <c r="C424" s="57">
        <v>3</v>
      </c>
      <c r="D424" s="57" t="s">
        <v>175</v>
      </c>
      <c r="E424" s="57">
        <v>1</v>
      </c>
      <c r="F424" s="57">
        <v>0.44679999999999997</v>
      </c>
      <c r="G424" s="57">
        <v>0.23400000000000001</v>
      </c>
      <c r="H424" s="57" t="s">
        <v>193</v>
      </c>
      <c r="I424" s="33">
        <f t="shared" si="1"/>
        <v>0.90940170940170917</v>
      </c>
    </row>
    <row r="425" spans="1:9" x14ac:dyDescent="0.2">
      <c r="A425" s="70">
        <v>44665</v>
      </c>
      <c r="B425" s="57">
        <v>2367</v>
      </c>
      <c r="C425" s="57">
        <v>2</v>
      </c>
      <c r="D425" s="57" t="s">
        <v>175</v>
      </c>
      <c r="E425" s="57">
        <v>1</v>
      </c>
      <c r="F425" s="57">
        <v>0.26450000000000001</v>
      </c>
      <c r="G425" s="57">
        <v>0.13850000000000001</v>
      </c>
      <c r="H425" s="57" t="s">
        <v>191</v>
      </c>
      <c r="I425" s="33">
        <f t="shared" si="1"/>
        <v>0.9097472924187725</v>
      </c>
    </row>
    <row r="426" spans="1:9" x14ac:dyDescent="0.2">
      <c r="A426" s="70">
        <v>44690</v>
      </c>
      <c r="B426" s="57">
        <v>2007</v>
      </c>
      <c r="C426" s="57">
        <v>3</v>
      </c>
      <c r="D426" s="57" t="s">
        <v>175</v>
      </c>
      <c r="E426" s="57">
        <v>1</v>
      </c>
      <c r="F426" s="57">
        <v>0.12609999999999999</v>
      </c>
      <c r="G426" s="57">
        <v>6.6000000000000003E-2</v>
      </c>
      <c r="I426" s="33">
        <f t="shared" si="1"/>
        <v>0.91060606060606031</v>
      </c>
    </row>
    <row r="427" spans="1:9" x14ac:dyDescent="0.2">
      <c r="A427" s="70">
        <v>44704</v>
      </c>
      <c r="B427" s="57">
        <v>2367</v>
      </c>
      <c r="C427" s="57">
        <v>3</v>
      </c>
      <c r="D427" s="57" t="s">
        <v>175</v>
      </c>
      <c r="E427" s="57">
        <v>1</v>
      </c>
      <c r="F427" s="57">
        <v>8.9800000000000005E-2</v>
      </c>
      <c r="G427" s="57">
        <v>4.7E-2</v>
      </c>
      <c r="I427" s="33">
        <f t="shared" si="1"/>
        <v>0.91063829787234052</v>
      </c>
    </row>
    <row r="428" spans="1:9" x14ac:dyDescent="0.2">
      <c r="A428" s="70">
        <v>44684</v>
      </c>
      <c r="B428" s="57">
        <v>2369</v>
      </c>
      <c r="C428" s="57">
        <v>3</v>
      </c>
      <c r="D428" s="57" t="s">
        <v>192</v>
      </c>
      <c r="E428" s="57">
        <v>0</v>
      </c>
      <c r="F428" s="57">
        <v>1.3846000000000001</v>
      </c>
      <c r="G428" s="57">
        <v>0.72460000000000002</v>
      </c>
      <c r="H428" s="57" t="s">
        <v>196</v>
      </c>
      <c r="I428" s="33">
        <f t="shared" si="1"/>
        <v>0.91084736406293132</v>
      </c>
    </row>
    <row r="429" spans="1:9" x14ac:dyDescent="0.2">
      <c r="A429" s="70">
        <v>44708</v>
      </c>
      <c r="B429" s="57">
        <v>2008</v>
      </c>
      <c r="C429" s="57">
        <v>2</v>
      </c>
      <c r="D429" s="57" t="s">
        <v>192</v>
      </c>
      <c r="E429" s="57">
        <v>0</v>
      </c>
      <c r="F429" s="57">
        <v>0.40129999999999999</v>
      </c>
      <c r="G429" s="57">
        <v>0.21</v>
      </c>
      <c r="H429" s="57" t="s">
        <v>193</v>
      </c>
      <c r="I429" s="33">
        <f t="shared" si="1"/>
        <v>0.91095238095238096</v>
      </c>
    </row>
    <row r="430" spans="1:9" x14ac:dyDescent="0.2">
      <c r="A430" s="70">
        <v>44704</v>
      </c>
      <c r="B430" s="57">
        <v>2030</v>
      </c>
      <c r="C430" s="57">
        <v>1</v>
      </c>
      <c r="D430" s="57" t="s">
        <v>175</v>
      </c>
      <c r="E430" s="57">
        <v>0</v>
      </c>
      <c r="F430" s="57">
        <v>0.1739</v>
      </c>
      <c r="G430" s="57">
        <v>9.0999999999999998E-2</v>
      </c>
      <c r="I430" s="33">
        <f t="shared" si="1"/>
        <v>0.91098901098901108</v>
      </c>
    </row>
    <row r="431" spans="1:9" x14ac:dyDescent="0.2">
      <c r="A431" s="70">
        <v>44690</v>
      </c>
      <c r="B431" s="57">
        <v>2030</v>
      </c>
      <c r="C431" s="57">
        <v>3</v>
      </c>
      <c r="D431" s="57" t="s">
        <v>192</v>
      </c>
      <c r="E431" s="57">
        <v>0</v>
      </c>
      <c r="F431" s="57">
        <v>1.0264</v>
      </c>
      <c r="G431" s="57">
        <v>0.53700000000000003</v>
      </c>
      <c r="I431" s="33">
        <f t="shared" si="1"/>
        <v>0.91135940409683414</v>
      </c>
    </row>
    <row r="432" spans="1:9" x14ac:dyDescent="0.2">
      <c r="A432" s="70">
        <v>44708</v>
      </c>
      <c r="B432" s="57">
        <v>1478</v>
      </c>
      <c r="C432" s="57">
        <v>1</v>
      </c>
      <c r="D432" s="57" t="s">
        <v>192</v>
      </c>
      <c r="E432" s="57">
        <v>0</v>
      </c>
      <c r="F432" s="57">
        <v>0.52</v>
      </c>
      <c r="G432" s="57">
        <v>0.27200000000000002</v>
      </c>
      <c r="H432" s="57" t="s">
        <v>193</v>
      </c>
      <c r="I432" s="33">
        <f t="shared" si="1"/>
        <v>0.91176470588235292</v>
      </c>
    </row>
    <row r="433" spans="1:9" x14ac:dyDescent="0.2">
      <c r="A433" s="70">
        <v>44706</v>
      </c>
      <c r="B433" s="57">
        <v>2371</v>
      </c>
      <c r="C433" s="57">
        <v>3</v>
      </c>
      <c r="D433" s="57" t="s">
        <v>175</v>
      </c>
      <c r="E433" s="57">
        <v>1</v>
      </c>
      <c r="F433" s="57">
        <v>0.18179999999999999</v>
      </c>
      <c r="G433" s="57">
        <v>9.5000000000000001E-2</v>
      </c>
      <c r="H433" s="57" t="s">
        <v>193</v>
      </c>
      <c r="I433" s="33">
        <f t="shared" si="1"/>
        <v>0.91368421052631565</v>
      </c>
    </row>
    <row r="434" spans="1:9" x14ac:dyDescent="0.2">
      <c r="A434" s="70">
        <v>44690</v>
      </c>
      <c r="B434" s="57">
        <v>2015</v>
      </c>
      <c r="C434" s="57">
        <v>3</v>
      </c>
      <c r="D434" s="57" t="s">
        <v>175</v>
      </c>
      <c r="E434" s="57">
        <v>1</v>
      </c>
      <c r="F434" s="57">
        <v>0.1225</v>
      </c>
      <c r="G434" s="57">
        <v>6.4000000000000001E-2</v>
      </c>
      <c r="I434" s="33">
        <f t="shared" si="1"/>
        <v>0.91406249999999989</v>
      </c>
    </row>
    <row r="435" spans="1:9" x14ac:dyDescent="0.2">
      <c r="A435" s="70">
        <v>44708</v>
      </c>
      <c r="B435" s="57">
        <v>2086</v>
      </c>
      <c r="C435" s="57">
        <v>2</v>
      </c>
      <c r="D435" s="57" t="s">
        <v>192</v>
      </c>
      <c r="E435" s="57">
        <v>0</v>
      </c>
      <c r="F435" s="57">
        <v>1.3819999999999999</v>
      </c>
      <c r="G435" s="57">
        <v>0.72199999999999998</v>
      </c>
      <c r="H435" s="57" t="s">
        <v>193</v>
      </c>
      <c r="I435" s="33">
        <f t="shared" si="1"/>
        <v>0.91412742382271461</v>
      </c>
    </row>
    <row r="436" spans="1:9" x14ac:dyDescent="0.2">
      <c r="A436" s="70">
        <v>44684</v>
      </c>
      <c r="B436" s="57">
        <v>2081</v>
      </c>
      <c r="C436" s="57">
        <v>3</v>
      </c>
      <c r="D436" s="57" t="s">
        <v>175</v>
      </c>
      <c r="E436" s="57">
        <v>1</v>
      </c>
      <c r="F436" s="57">
        <v>0.1608</v>
      </c>
      <c r="G436" s="57">
        <v>8.4000000000000005E-2</v>
      </c>
      <c r="H436" s="57" t="s">
        <v>196</v>
      </c>
      <c r="I436" s="33">
        <f t="shared" si="1"/>
        <v>0.91428571428571415</v>
      </c>
    </row>
    <row r="437" spans="1:9" x14ac:dyDescent="0.2">
      <c r="A437" s="70">
        <v>44650</v>
      </c>
      <c r="B437" s="57">
        <v>2354</v>
      </c>
      <c r="C437" s="57">
        <v>1</v>
      </c>
      <c r="D437" s="57" t="s">
        <v>175</v>
      </c>
      <c r="E437" s="57" t="s">
        <v>60</v>
      </c>
      <c r="F437" s="57">
        <v>0.34649999999999997</v>
      </c>
      <c r="G437" s="57">
        <v>0.18099999999999999</v>
      </c>
      <c r="H437" s="57" t="s">
        <v>191</v>
      </c>
      <c r="I437" s="33">
        <f t="shared" si="1"/>
        <v>0.91436464088397784</v>
      </c>
    </row>
    <row r="438" spans="1:9" x14ac:dyDescent="0.2">
      <c r="A438" s="70">
        <v>44690</v>
      </c>
      <c r="B438" s="57">
        <v>2022</v>
      </c>
      <c r="C438" s="57">
        <v>1</v>
      </c>
      <c r="D438" s="57" t="s">
        <v>175</v>
      </c>
      <c r="E438" s="57">
        <v>1</v>
      </c>
      <c r="F438" s="57">
        <v>0.43840000000000001</v>
      </c>
      <c r="G438" s="57">
        <v>0.22900000000000001</v>
      </c>
      <c r="I438" s="33">
        <f t="shared" si="1"/>
        <v>0.91441048034934491</v>
      </c>
    </row>
    <row r="439" spans="1:9" x14ac:dyDescent="0.2">
      <c r="A439" s="70">
        <v>44708</v>
      </c>
      <c r="B439" s="57">
        <v>2090</v>
      </c>
      <c r="C439" s="57">
        <v>3</v>
      </c>
      <c r="D439" s="57" t="s">
        <v>192</v>
      </c>
      <c r="E439" s="57">
        <v>0</v>
      </c>
      <c r="F439" s="57">
        <v>0.38500000000000001</v>
      </c>
      <c r="G439" s="57">
        <v>0.20100000000000001</v>
      </c>
      <c r="H439" s="57" t="s">
        <v>193</v>
      </c>
      <c r="I439" s="33">
        <f t="shared" si="1"/>
        <v>0.91542288557213924</v>
      </c>
    </row>
    <row r="440" spans="1:9" x14ac:dyDescent="0.2">
      <c r="A440" s="70">
        <v>44690</v>
      </c>
      <c r="B440" s="57">
        <v>2026</v>
      </c>
      <c r="C440" s="57">
        <v>1</v>
      </c>
      <c r="D440" s="57" t="s">
        <v>192</v>
      </c>
      <c r="E440" s="57">
        <v>0</v>
      </c>
      <c r="F440" s="57">
        <v>2.4424999999999999</v>
      </c>
      <c r="G440" s="57">
        <v>1.2749999999999999</v>
      </c>
      <c r="I440" s="33">
        <f t="shared" si="1"/>
        <v>0.915686274509804</v>
      </c>
    </row>
    <row r="441" spans="1:9" x14ac:dyDescent="0.2">
      <c r="A441" s="70">
        <v>44650</v>
      </c>
      <c r="B441" s="57">
        <v>2345</v>
      </c>
      <c r="C441" s="57">
        <v>2</v>
      </c>
      <c r="D441" s="57" t="s">
        <v>175</v>
      </c>
      <c r="E441" s="57" t="s">
        <v>60</v>
      </c>
      <c r="F441" s="57">
        <v>0.51539999999999997</v>
      </c>
      <c r="G441" s="57">
        <v>0.26900000000000002</v>
      </c>
      <c r="H441" s="57" t="s">
        <v>191</v>
      </c>
      <c r="I441" s="33">
        <f t="shared" si="1"/>
        <v>0.91598513011152394</v>
      </c>
    </row>
    <row r="442" spans="1:9" x14ac:dyDescent="0.2">
      <c r="A442" s="70">
        <v>44704</v>
      </c>
      <c r="B442" s="57">
        <v>2360</v>
      </c>
      <c r="C442" s="57">
        <v>3</v>
      </c>
      <c r="D442" s="57" t="s">
        <v>175</v>
      </c>
      <c r="E442" s="57">
        <v>0</v>
      </c>
      <c r="F442" s="57">
        <v>0.3085</v>
      </c>
      <c r="G442" s="57">
        <v>0.161</v>
      </c>
      <c r="I442" s="33">
        <f t="shared" si="1"/>
        <v>0.91614906832298126</v>
      </c>
    </row>
    <row r="443" spans="1:9" x14ac:dyDescent="0.2">
      <c r="A443" s="70">
        <v>44704</v>
      </c>
      <c r="B443" s="57">
        <v>2384</v>
      </c>
      <c r="C443" s="57">
        <v>3</v>
      </c>
      <c r="D443" s="57" t="s">
        <v>192</v>
      </c>
      <c r="E443" s="57">
        <v>0</v>
      </c>
      <c r="F443" s="57">
        <v>0.51749999999999996</v>
      </c>
      <c r="G443" s="57">
        <v>0.27</v>
      </c>
      <c r="I443" s="33">
        <f t="shared" si="1"/>
        <v>0.91666666666666641</v>
      </c>
    </row>
    <row r="444" spans="1:9" x14ac:dyDescent="0.2">
      <c r="A444" s="70">
        <v>44708</v>
      </c>
      <c r="B444" s="57">
        <v>2008</v>
      </c>
      <c r="C444" s="57">
        <v>1</v>
      </c>
      <c r="D444" s="57" t="s">
        <v>175</v>
      </c>
      <c r="E444" s="57">
        <v>1</v>
      </c>
      <c r="F444" s="57">
        <v>9.1999999999999998E-2</v>
      </c>
      <c r="G444" s="57">
        <v>4.8000000000000001E-2</v>
      </c>
      <c r="H444" s="57" t="s">
        <v>193</v>
      </c>
      <c r="I444" s="33">
        <f t="shared" si="1"/>
        <v>0.91666666666666663</v>
      </c>
    </row>
    <row r="445" spans="1:9" x14ac:dyDescent="0.2">
      <c r="A445" s="70">
        <v>44684</v>
      </c>
      <c r="B445" s="57">
        <v>2369</v>
      </c>
      <c r="C445" s="57">
        <v>1</v>
      </c>
      <c r="D445" s="57" t="s">
        <v>192</v>
      </c>
      <c r="E445" s="57">
        <v>0</v>
      </c>
      <c r="F445" s="57">
        <v>0.91359999999999997</v>
      </c>
      <c r="G445" s="57">
        <v>0.47660000000000002</v>
      </c>
      <c r="H445" s="57" t="s">
        <v>196</v>
      </c>
      <c r="I445" s="33">
        <f t="shared" si="1"/>
        <v>0.91691145614771286</v>
      </c>
    </row>
    <row r="446" spans="1:9" x14ac:dyDescent="0.2">
      <c r="A446" s="70">
        <v>44690</v>
      </c>
      <c r="B446" s="57">
        <v>2030</v>
      </c>
      <c r="C446" s="57">
        <v>3</v>
      </c>
      <c r="D446" s="57" t="s">
        <v>175</v>
      </c>
      <c r="E446" s="57">
        <v>0</v>
      </c>
      <c r="F446" s="57">
        <v>7.8600000000000003E-2</v>
      </c>
      <c r="G446" s="57">
        <v>4.1000000000000002E-2</v>
      </c>
      <c r="I446" s="33">
        <f t="shared" si="1"/>
        <v>0.91707317073170735</v>
      </c>
    </row>
    <row r="447" spans="1:9" x14ac:dyDescent="0.2">
      <c r="A447" s="70">
        <v>44708</v>
      </c>
      <c r="B447" s="57">
        <v>2091</v>
      </c>
      <c r="C447" s="57">
        <v>1</v>
      </c>
      <c r="D447" s="57" t="s">
        <v>175</v>
      </c>
      <c r="E447" s="57">
        <v>1</v>
      </c>
      <c r="F447" s="57">
        <v>0.29530000000000001</v>
      </c>
      <c r="G447" s="57">
        <v>0.154</v>
      </c>
      <c r="H447" s="57" t="s">
        <v>193</v>
      </c>
      <c r="I447" s="33">
        <f t="shared" si="1"/>
        <v>0.91753246753246764</v>
      </c>
    </row>
    <row r="448" spans="1:9" x14ac:dyDescent="0.2">
      <c r="A448" s="70">
        <v>44706</v>
      </c>
      <c r="B448" s="57">
        <v>2301</v>
      </c>
      <c r="C448" s="57">
        <v>1</v>
      </c>
      <c r="D448" s="57" t="s">
        <v>175</v>
      </c>
      <c r="E448" s="57">
        <v>1</v>
      </c>
      <c r="F448" s="57">
        <v>0.1956</v>
      </c>
      <c r="G448" s="57">
        <v>0.10199999999999999</v>
      </c>
      <c r="H448" s="57" t="s">
        <v>193</v>
      </c>
      <c r="I448" s="33">
        <f t="shared" si="1"/>
        <v>0.91764705882352948</v>
      </c>
    </row>
    <row r="449" spans="1:9" x14ac:dyDescent="0.2">
      <c r="A449" s="70">
        <v>44704</v>
      </c>
      <c r="B449" s="57">
        <v>2029</v>
      </c>
      <c r="C449" s="57">
        <v>2</v>
      </c>
      <c r="D449" s="57" t="s">
        <v>175</v>
      </c>
      <c r="E449" s="57">
        <v>0</v>
      </c>
      <c r="F449" s="57">
        <v>0.1515</v>
      </c>
      <c r="G449" s="57">
        <v>7.9000000000000001E-2</v>
      </c>
      <c r="I449" s="33">
        <f t="shared" si="1"/>
        <v>0.91772151898734167</v>
      </c>
    </row>
    <row r="450" spans="1:9" x14ac:dyDescent="0.2">
      <c r="A450" s="70">
        <v>44690</v>
      </c>
      <c r="B450" s="57">
        <v>2005</v>
      </c>
      <c r="C450" s="57">
        <v>2</v>
      </c>
      <c r="D450" s="57" t="s">
        <v>175</v>
      </c>
      <c r="E450" s="57">
        <v>0</v>
      </c>
      <c r="F450" s="57">
        <v>0.11890000000000001</v>
      </c>
      <c r="G450" s="57">
        <v>6.2E-2</v>
      </c>
      <c r="I450" s="33">
        <f t="shared" si="1"/>
        <v>0.91774193548387106</v>
      </c>
    </row>
    <row r="451" spans="1:9" x14ac:dyDescent="0.2">
      <c r="A451" s="70">
        <v>44706</v>
      </c>
      <c r="B451" s="57">
        <v>2331</v>
      </c>
      <c r="C451" s="57">
        <v>2</v>
      </c>
      <c r="D451" s="57" t="s">
        <v>175</v>
      </c>
      <c r="E451" s="57">
        <v>0</v>
      </c>
      <c r="F451" s="57">
        <v>0.1822</v>
      </c>
      <c r="G451" s="57">
        <v>9.5000000000000001E-2</v>
      </c>
      <c r="H451" s="57" t="s">
        <v>193</v>
      </c>
      <c r="I451" s="33">
        <f t="shared" si="1"/>
        <v>0.91789473684210521</v>
      </c>
    </row>
    <row r="452" spans="1:9" x14ac:dyDescent="0.2">
      <c r="A452" s="70">
        <v>44704</v>
      </c>
      <c r="B452" s="57">
        <v>2027</v>
      </c>
      <c r="C452" s="57">
        <v>2</v>
      </c>
      <c r="D452" s="57" t="s">
        <v>192</v>
      </c>
      <c r="E452" s="57">
        <v>0</v>
      </c>
      <c r="F452" s="57">
        <v>1.1069</v>
      </c>
      <c r="G452" s="57">
        <v>0.57709999999999995</v>
      </c>
      <c r="I452" s="33">
        <f t="shared" si="1"/>
        <v>0.91803846820308455</v>
      </c>
    </row>
    <row r="453" spans="1:9" x14ac:dyDescent="0.2">
      <c r="A453" s="70">
        <v>44665</v>
      </c>
      <c r="B453" s="57">
        <v>2375</v>
      </c>
      <c r="C453" s="57">
        <v>1</v>
      </c>
      <c r="D453" s="57" t="s">
        <v>192</v>
      </c>
      <c r="E453" s="57">
        <v>0</v>
      </c>
      <c r="F453" s="57">
        <v>1.2726999999999999</v>
      </c>
      <c r="G453" s="57">
        <v>0.66339999999999999</v>
      </c>
      <c r="H453" s="57" t="s">
        <v>191</v>
      </c>
      <c r="I453" s="33">
        <f t="shared" si="1"/>
        <v>0.91845040699427183</v>
      </c>
    </row>
    <row r="454" spans="1:9" x14ac:dyDescent="0.2">
      <c r="A454" s="70">
        <v>44704</v>
      </c>
      <c r="B454" s="57">
        <v>2022</v>
      </c>
      <c r="C454" s="57">
        <v>2</v>
      </c>
      <c r="D454" s="57" t="s">
        <v>175</v>
      </c>
      <c r="E454" s="57">
        <v>1</v>
      </c>
      <c r="F454" s="57">
        <v>0.27250000000000002</v>
      </c>
      <c r="G454" s="57">
        <v>0.14199999999999999</v>
      </c>
      <c r="I454" s="33">
        <f t="shared" si="1"/>
        <v>0.91901408450704258</v>
      </c>
    </row>
    <row r="455" spans="1:9" x14ac:dyDescent="0.2">
      <c r="A455" s="70">
        <v>44706</v>
      </c>
      <c r="B455" s="57">
        <v>2380</v>
      </c>
      <c r="C455" s="57">
        <v>3</v>
      </c>
      <c r="D455" s="57" t="s">
        <v>192</v>
      </c>
      <c r="E455" s="57">
        <v>0</v>
      </c>
      <c r="F455" s="57">
        <v>7.3499999999999996E-2</v>
      </c>
      <c r="G455" s="57">
        <v>3.8300000000000001E-2</v>
      </c>
      <c r="H455" s="57" t="s">
        <v>193</v>
      </c>
      <c r="I455" s="33">
        <f t="shared" si="1"/>
        <v>0.91906005221932097</v>
      </c>
    </row>
    <row r="456" spans="1:9" x14ac:dyDescent="0.2">
      <c r="A456" s="70">
        <v>44690</v>
      </c>
      <c r="B456" s="57">
        <v>2005</v>
      </c>
      <c r="C456" s="57">
        <v>1</v>
      </c>
      <c r="D456" s="57" t="s">
        <v>192</v>
      </c>
      <c r="E456" s="57">
        <v>0</v>
      </c>
      <c r="F456" s="57">
        <v>0.8216</v>
      </c>
      <c r="G456" s="57">
        <v>0.42799999999999999</v>
      </c>
      <c r="I456" s="33">
        <f t="shared" si="1"/>
        <v>0.9196261682242991</v>
      </c>
    </row>
    <row r="457" spans="1:9" x14ac:dyDescent="0.2">
      <c r="A457" s="70">
        <v>44665</v>
      </c>
      <c r="B457" s="57">
        <v>2379</v>
      </c>
      <c r="C457" s="57">
        <v>3</v>
      </c>
      <c r="D457" s="57" t="s">
        <v>175</v>
      </c>
      <c r="E457" s="57">
        <v>1</v>
      </c>
      <c r="F457" s="57">
        <v>0.21560000000000001</v>
      </c>
      <c r="G457" s="57">
        <v>0.1123</v>
      </c>
      <c r="H457" s="57" t="s">
        <v>191</v>
      </c>
      <c r="I457" s="33">
        <f t="shared" si="1"/>
        <v>0.91985752448797875</v>
      </c>
    </row>
    <row r="458" spans="1:9" x14ac:dyDescent="0.2">
      <c r="A458" s="70">
        <v>44706</v>
      </c>
      <c r="B458" s="57">
        <v>2025</v>
      </c>
      <c r="C458" s="57">
        <v>3</v>
      </c>
      <c r="D458" s="57" t="s">
        <v>175</v>
      </c>
      <c r="E458" s="57">
        <v>1</v>
      </c>
      <c r="F458" s="57">
        <v>0.23039999999999999</v>
      </c>
      <c r="G458" s="57">
        <v>0.12</v>
      </c>
      <c r="H458" s="57" t="s">
        <v>193</v>
      </c>
      <c r="I458" s="33">
        <f t="shared" si="1"/>
        <v>0.92</v>
      </c>
    </row>
    <row r="459" spans="1:9" x14ac:dyDescent="0.2">
      <c r="A459" s="70">
        <v>44704</v>
      </c>
      <c r="B459" s="57">
        <v>2384</v>
      </c>
      <c r="C459" s="57">
        <v>3</v>
      </c>
      <c r="D459" s="57" t="s">
        <v>175</v>
      </c>
      <c r="E459" s="57">
        <v>1</v>
      </c>
      <c r="F459" s="57">
        <v>0.1037</v>
      </c>
      <c r="G459" s="57">
        <v>5.3999999999999999E-2</v>
      </c>
      <c r="I459" s="33">
        <f t="shared" si="1"/>
        <v>0.92037037037037039</v>
      </c>
    </row>
    <row r="460" spans="1:9" x14ac:dyDescent="0.2">
      <c r="A460" s="70">
        <v>44706</v>
      </c>
      <c r="B460" s="57">
        <v>2331</v>
      </c>
      <c r="C460" s="57">
        <v>2</v>
      </c>
      <c r="D460" s="57" t="s">
        <v>175</v>
      </c>
      <c r="E460" s="57">
        <v>1</v>
      </c>
      <c r="F460" s="57">
        <v>0.53410000000000002</v>
      </c>
      <c r="G460" s="57">
        <v>0.27800000000000002</v>
      </c>
      <c r="H460" s="57" t="s">
        <v>193</v>
      </c>
      <c r="I460" s="33">
        <f t="shared" si="1"/>
        <v>0.92122302158273373</v>
      </c>
    </row>
    <row r="461" spans="1:9" x14ac:dyDescent="0.2">
      <c r="A461" s="70">
        <v>44684</v>
      </c>
      <c r="B461" s="57">
        <v>2009</v>
      </c>
      <c r="C461" s="57">
        <v>1</v>
      </c>
      <c r="D461" s="57" t="s">
        <v>192</v>
      </c>
      <c r="E461" s="57">
        <v>0</v>
      </c>
      <c r="F461" s="57">
        <v>1.1472</v>
      </c>
      <c r="G461" s="57">
        <v>0.59699999999999998</v>
      </c>
      <c r="H461" s="57" t="s">
        <v>196</v>
      </c>
      <c r="I461" s="33">
        <f t="shared" si="1"/>
        <v>0.92160804020100506</v>
      </c>
    </row>
    <row r="462" spans="1:9" x14ac:dyDescent="0.2">
      <c r="A462" s="70">
        <v>44704</v>
      </c>
      <c r="B462" s="57">
        <v>2028</v>
      </c>
      <c r="C462" s="57">
        <v>1</v>
      </c>
      <c r="D462" s="57" t="s">
        <v>175</v>
      </c>
      <c r="E462" s="57">
        <v>1</v>
      </c>
      <c r="F462" s="57">
        <v>0.2114</v>
      </c>
      <c r="G462" s="57">
        <v>0.11</v>
      </c>
      <c r="I462" s="33">
        <f t="shared" si="1"/>
        <v>0.92181818181818187</v>
      </c>
    </row>
    <row r="463" spans="1:9" x14ac:dyDescent="0.2">
      <c r="A463" s="70">
        <v>44704</v>
      </c>
      <c r="B463" s="57">
        <v>2029</v>
      </c>
      <c r="C463" s="57">
        <v>1</v>
      </c>
      <c r="D463" s="57" t="s">
        <v>175</v>
      </c>
      <c r="E463" s="57">
        <v>0</v>
      </c>
      <c r="F463" s="57">
        <v>8.1699999999999995E-2</v>
      </c>
      <c r="G463" s="57">
        <v>4.2500000000000003E-2</v>
      </c>
      <c r="I463" s="33">
        <f t="shared" si="1"/>
        <v>0.92235294117647038</v>
      </c>
    </row>
    <row r="464" spans="1:9" x14ac:dyDescent="0.2">
      <c r="A464" s="70">
        <v>44685</v>
      </c>
      <c r="B464" s="57">
        <v>2378</v>
      </c>
      <c r="C464" s="57">
        <v>2</v>
      </c>
      <c r="D464" s="57" t="s">
        <v>175</v>
      </c>
      <c r="E464" s="57">
        <v>1</v>
      </c>
      <c r="F464" s="57">
        <v>0.14610000000000001</v>
      </c>
      <c r="G464" s="57">
        <v>7.5999999999999998E-2</v>
      </c>
      <c r="I464" s="33">
        <f t="shared" si="1"/>
        <v>0.92236842105263173</v>
      </c>
    </row>
    <row r="465" spans="1:9" x14ac:dyDescent="0.2">
      <c r="A465" s="70">
        <v>44685</v>
      </c>
      <c r="B465" s="57">
        <v>2371</v>
      </c>
      <c r="C465" s="57">
        <v>3</v>
      </c>
      <c r="D465" s="57" t="s">
        <v>175</v>
      </c>
      <c r="E465" s="57">
        <v>1</v>
      </c>
      <c r="F465" s="57">
        <v>6.9800000000000001E-2</v>
      </c>
      <c r="G465" s="57">
        <v>3.6299999999999999E-2</v>
      </c>
      <c r="I465" s="33">
        <f t="shared" si="1"/>
        <v>0.92286501377410479</v>
      </c>
    </row>
    <row r="466" spans="1:9" x14ac:dyDescent="0.2">
      <c r="A466" s="70">
        <v>44704</v>
      </c>
      <c r="B466" s="57">
        <v>2083</v>
      </c>
      <c r="C466" s="57">
        <v>2</v>
      </c>
      <c r="D466" s="57" t="s">
        <v>175</v>
      </c>
      <c r="E466" s="57">
        <v>0</v>
      </c>
      <c r="F466" s="57">
        <v>0.05</v>
      </c>
      <c r="G466" s="57">
        <v>2.5999999999999999E-2</v>
      </c>
      <c r="I466" s="33">
        <f t="shared" si="1"/>
        <v>0.92307692307692324</v>
      </c>
    </row>
    <row r="467" spans="1:9" x14ac:dyDescent="0.2">
      <c r="A467" s="70">
        <v>44706</v>
      </c>
      <c r="B467" s="57">
        <v>2369</v>
      </c>
      <c r="C467" s="57">
        <v>2</v>
      </c>
      <c r="D467" s="57" t="s">
        <v>175</v>
      </c>
      <c r="E467" s="57">
        <v>1</v>
      </c>
      <c r="F467" s="57">
        <v>0.25580000000000003</v>
      </c>
      <c r="G467" s="57">
        <v>0.13300000000000001</v>
      </c>
      <c r="H467" s="57" t="s">
        <v>193</v>
      </c>
      <c r="I467" s="33">
        <f t="shared" si="1"/>
        <v>0.92330827067669186</v>
      </c>
    </row>
    <row r="468" spans="1:9" x14ac:dyDescent="0.2">
      <c r="A468" s="70">
        <v>44684</v>
      </c>
      <c r="B468" s="57">
        <v>2434</v>
      </c>
      <c r="C468" s="57">
        <v>2</v>
      </c>
      <c r="D468" s="57" t="s">
        <v>192</v>
      </c>
      <c r="E468" s="57">
        <v>0</v>
      </c>
      <c r="F468" s="57">
        <v>1.6221000000000001</v>
      </c>
      <c r="G468" s="57">
        <v>0.84330000000000005</v>
      </c>
      <c r="H468" s="57" t="s">
        <v>196</v>
      </c>
      <c r="I468" s="33">
        <f t="shared" si="1"/>
        <v>0.92351476342938454</v>
      </c>
    </row>
    <row r="469" spans="1:9" x14ac:dyDescent="0.2">
      <c r="A469" s="70">
        <v>44685</v>
      </c>
      <c r="B469" s="57">
        <v>2011</v>
      </c>
      <c r="C469" s="57">
        <v>3</v>
      </c>
      <c r="D469" s="57" t="s">
        <v>192</v>
      </c>
      <c r="E469" s="57">
        <v>0</v>
      </c>
      <c r="F469" s="57">
        <v>0.60260000000000002</v>
      </c>
      <c r="G469" s="57">
        <v>0.31319999999999998</v>
      </c>
      <c r="I469" s="33">
        <f t="shared" si="1"/>
        <v>0.9240102171136656</v>
      </c>
    </row>
    <row r="470" spans="1:9" x14ac:dyDescent="0.2">
      <c r="A470" s="70">
        <v>44685</v>
      </c>
      <c r="B470" s="57">
        <v>2372</v>
      </c>
      <c r="C470" s="57">
        <v>3</v>
      </c>
      <c r="D470" s="57" t="s">
        <v>175</v>
      </c>
      <c r="E470" s="57">
        <v>1</v>
      </c>
      <c r="F470" s="57">
        <v>0.27150000000000002</v>
      </c>
      <c r="G470" s="57">
        <v>0.1411</v>
      </c>
      <c r="I470" s="33">
        <f t="shared" si="1"/>
        <v>0.92416725726435156</v>
      </c>
    </row>
    <row r="471" spans="1:9" x14ac:dyDescent="0.2">
      <c r="A471" s="70">
        <v>44706</v>
      </c>
      <c r="B471" s="57">
        <v>2025</v>
      </c>
      <c r="C471" s="57">
        <v>1</v>
      </c>
      <c r="D471" s="57" t="s">
        <v>192</v>
      </c>
      <c r="E471" s="57">
        <v>0</v>
      </c>
      <c r="F471" s="57">
        <v>1.2605999999999999</v>
      </c>
      <c r="G471" s="57">
        <v>0.65500000000000003</v>
      </c>
      <c r="H471" s="57" t="s">
        <v>193</v>
      </c>
      <c r="I471" s="33">
        <f t="shared" si="1"/>
        <v>0.92458015267175553</v>
      </c>
    </row>
    <row r="472" spans="1:9" x14ac:dyDescent="0.2">
      <c r="A472" s="70">
        <v>44708</v>
      </c>
      <c r="B472" s="57">
        <v>2086</v>
      </c>
      <c r="C472" s="57">
        <v>1</v>
      </c>
      <c r="D472" s="57" t="s">
        <v>192</v>
      </c>
      <c r="E472" s="57">
        <v>0</v>
      </c>
      <c r="F472" s="57">
        <v>1.8129999999999999</v>
      </c>
      <c r="G472" s="57">
        <v>0.94199999999999995</v>
      </c>
      <c r="H472" s="57" t="s">
        <v>193</v>
      </c>
      <c r="I472" s="33">
        <f t="shared" si="1"/>
        <v>0.92462845010615713</v>
      </c>
    </row>
    <row r="473" spans="1:9" x14ac:dyDescent="0.2">
      <c r="A473" s="70">
        <v>44704</v>
      </c>
      <c r="B473" s="57">
        <v>2026</v>
      </c>
      <c r="C473" s="57">
        <v>3</v>
      </c>
      <c r="D473" s="57" t="s">
        <v>175</v>
      </c>
      <c r="E473" s="57">
        <v>1</v>
      </c>
      <c r="F473" s="57">
        <v>0.28910000000000002</v>
      </c>
      <c r="G473" s="57">
        <v>0.1502</v>
      </c>
      <c r="I473" s="33">
        <f t="shared" si="1"/>
        <v>0.92476697736351543</v>
      </c>
    </row>
    <row r="474" spans="1:9" x14ac:dyDescent="0.2">
      <c r="A474" s="70">
        <v>44706</v>
      </c>
      <c r="B474" s="57">
        <v>2347</v>
      </c>
      <c r="C474" s="57">
        <v>2</v>
      </c>
      <c r="D474" s="57" t="s">
        <v>175</v>
      </c>
      <c r="E474" s="57">
        <v>1</v>
      </c>
      <c r="F474" s="57">
        <v>0.4486</v>
      </c>
      <c r="G474" s="57">
        <v>0.23300000000000001</v>
      </c>
      <c r="H474" s="57" t="s">
        <v>193</v>
      </c>
      <c r="I474" s="33">
        <f t="shared" si="1"/>
        <v>0.92532188841201701</v>
      </c>
    </row>
    <row r="475" spans="1:9" x14ac:dyDescent="0.2">
      <c r="A475" s="70">
        <v>44704</v>
      </c>
      <c r="B475" s="57">
        <v>2021</v>
      </c>
      <c r="C475" s="57">
        <v>3</v>
      </c>
      <c r="D475" s="57" t="s">
        <v>175</v>
      </c>
      <c r="E475" s="57">
        <v>1</v>
      </c>
      <c r="F475" s="57">
        <v>0.30309999999999998</v>
      </c>
      <c r="G475" s="57">
        <v>0.15740000000000001</v>
      </c>
      <c r="I475" s="33">
        <f t="shared" si="1"/>
        <v>0.9256670902160099</v>
      </c>
    </row>
    <row r="476" spans="1:9" x14ac:dyDescent="0.2">
      <c r="A476" s="70">
        <v>44708</v>
      </c>
      <c r="B476" s="57">
        <v>2006</v>
      </c>
      <c r="C476" s="57">
        <v>1</v>
      </c>
      <c r="D476" s="57" t="s">
        <v>192</v>
      </c>
      <c r="E476" s="57">
        <v>0</v>
      </c>
      <c r="F476" s="57">
        <v>0.49109999999999998</v>
      </c>
      <c r="G476" s="57">
        <v>0.255</v>
      </c>
      <c r="H476" s="57" t="s">
        <v>193</v>
      </c>
      <c r="I476" s="33">
        <f t="shared" si="1"/>
        <v>0.92588235294117638</v>
      </c>
    </row>
    <row r="477" spans="1:9" x14ac:dyDescent="0.2">
      <c r="A477" s="70">
        <v>44706</v>
      </c>
      <c r="B477" s="57">
        <v>2011</v>
      </c>
      <c r="C477" s="57">
        <v>1</v>
      </c>
      <c r="D477" s="57" t="s">
        <v>175</v>
      </c>
      <c r="E477" s="57">
        <v>1</v>
      </c>
      <c r="F477" s="57">
        <v>0.5181</v>
      </c>
      <c r="G477" s="57">
        <v>0.26900000000000002</v>
      </c>
      <c r="H477" s="57" t="s">
        <v>193</v>
      </c>
      <c r="I477" s="33">
        <f t="shared" si="1"/>
        <v>0.92602230483271364</v>
      </c>
    </row>
    <row r="478" spans="1:9" x14ac:dyDescent="0.2">
      <c r="A478" s="70">
        <v>44706</v>
      </c>
      <c r="B478" s="57">
        <v>2378</v>
      </c>
      <c r="C478" s="57">
        <v>1</v>
      </c>
      <c r="D478" s="57" t="s">
        <v>175</v>
      </c>
      <c r="E478" s="57">
        <v>1</v>
      </c>
      <c r="F478" s="57">
        <v>0.21379999999999999</v>
      </c>
      <c r="G478" s="57">
        <v>0.111</v>
      </c>
      <c r="H478" s="57" t="s">
        <v>193</v>
      </c>
      <c r="I478" s="33">
        <f t="shared" si="1"/>
        <v>0.92612612612612599</v>
      </c>
    </row>
    <row r="479" spans="1:9" x14ac:dyDescent="0.2">
      <c r="A479" s="70">
        <v>44690</v>
      </c>
      <c r="B479" s="57">
        <v>2029</v>
      </c>
      <c r="C479" s="57">
        <v>2</v>
      </c>
      <c r="D479" s="57" t="s">
        <v>192</v>
      </c>
      <c r="E479" s="57">
        <v>0</v>
      </c>
      <c r="F479" s="57">
        <v>1.1396999999999999</v>
      </c>
      <c r="G479" s="57">
        <v>0.5917</v>
      </c>
      <c r="I479" s="33">
        <f t="shared" si="1"/>
        <v>0.92614500591515958</v>
      </c>
    </row>
    <row r="480" spans="1:9" x14ac:dyDescent="0.2">
      <c r="A480" s="70">
        <v>44684</v>
      </c>
      <c r="B480" s="57">
        <v>2367</v>
      </c>
      <c r="C480" s="57">
        <v>1</v>
      </c>
      <c r="D480" s="57" t="s">
        <v>175</v>
      </c>
      <c r="E480" s="57">
        <v>1</v>
      </c>
      <c r="F480" s="57">
        <v>0.24840000000000001</v>
      </c>
      <c r="G480" s="57">
        <v>0.12889999999999999</v>
      </c>
      <c r="H480" s="57" t="s">
        <v>196</v>
      </c>
      <c r="I480" s="33">
        <f t="shared" si="1"/>
        <v>0.927075252133437</v>
      </c>
    </row>
    <row r="481" spans="1:9" x14ac:dyDescent="0.2">
      <c r="A481" s="70">
        <v>44685</v>
      </c>
      <c r="B481" s="57">
        <v>2360</v>
      </c>
      <c r="C481" s="57">
        <v>3</v>
      </c>
      <c r="D481" s="57" t="s">
        <v>192</v>
      </c>
      <c r="E481" s="57">
        <v>0</v>
      </c>
      <c r="F481" s="57">
        <v>1.8793</v>
      </c>
      <c r="G481" s="57">
        <v>0.97519999999999996</v>
      </c>
      <c r="I481" s="33">
        <f t="shared" si="1"/>
        <v>0.92709187858900743</v>
      </c>
    </row>
    <row r="482" spans="1:9" x14ac:dyDescent="0.2">
      <c r="A482" s="70">
        <v>44690</v>
      </c>
      <c r="B482" s="57">
        <v>2029</v>
      </c>
      <c r="C482" s="57">
        <v>1</v>
      </c>
      <c r="D482" s="57" t="s">
        <v>192</v>
      </c>
      <c r="E482" s="57">
        <v>0</v>
      </c>
      <c r="F482" s="57">
        <v>2.0579000000000001</v>
      </c>
      <c r="G482" s="57">
        <v>1.0677000000000001</v>
      </c>
      <c r="I482" s="33">
        <f t="shared" si="1"/>
        <v>0.92741406762199108</v>
      </c>
    </row>
    <row r="483" spans="1:9" x14ac:dyDescent="0.2">
      <c r="A483" s="70">
        <v>44690</v>
      </c>
      <c r="B483" s="57">
        <v>2007</v>
      </c>
      <c r="C483" s="57">
        <v>2</v>
      </c>
      <c r="D483" s="57" t="s">
        <v>175</v>
      </c>
      <c r="E483" s="57">
        <v>1</v>
      </c>
      <c r="F483" s="57">
        <v>0.29880000000000001</v>
      </c>
      <c r="G483" s="57">
        <v>0.155</v>
      </c>
      <c r="I483" s="33">
        <f t="shared" si="1"/>
        <v>0.92774193548387107</v>
      </c>
    </row>
    <row r="484" spans="1:9" x14ac:dyDescent="0.2">
      <c r="A484" s="70">
        <v>44706</v>
      </c>
      <c r="B484" s="57">
        <v>2024</v>
      </c>
      <c r="C484" s="57">
        <v>1</v>
      </c>
      <c r="D484" s="57" t="s">
        <v>175</v>
      </c>
      <c r="E484" s="57">
        <v>1</v>
      </c>
      <c r="F484" s="57">
        <v>8.8700000000000001E-2</v>
      </c>
      <c r="G484" s="57">
        <v>4.5999999999999999E-2</v>
      </c>
      <c r="H484" s="57" t="s">
        <v>193</v>
      </c>
      <c r="I484" s="33">
        <f t="shared" si="1"/>
        <v>0.92826086956521747</v>
      </c>
    </row>
    <row r="485" spans="1:9" x14ac:dyDescent="0.2">
      <c r="A485" s="70">
        <v>44704</v>
      </c>
      <c r="B485" s="57">
        <v>2083</v>
      </c>
      <c r="C485" s="57">
        <v>1</v>
      </c>
      <c r="D485" s="57" t="s">
        <v>175</v>
      </c>
      <c r="E485" s="57">
        <v>0</v>
      </c>
      <c r="F485" s="57">
        <v>0.19089999999999999</v>
      </c>
      <c r="G485" s="57">
        <v>9.9000000000000005E-2</v>
      </c>
      <c r="I485" s="33">
        <f t="shared" si="1"/>
        <v>0.92828282828282804</v>
      </c>
    </row>
    <row r="486" spans="1:9" x14ac:dyDescent="0.2">
      <c r="A486" s="70">
        <v>44708</v>
      </c>
      <c r="B486" s="57">
        <v>2006</v>
      </c>
      <c r="C486" s="57">
        <v>2</v>
      </c>
      <c r="D486" s="57" t="s">
        <v>192</v>
      </c>
      <c r="E486" s="57">
        <v>0</v>
      </c>
      <c r="F486" s="57">
        <v>0.61160000000000003</v>
      </c>
      <c r="G486" s="57">
        <v>0.317</v>
      </c>
      <c r="H486" s="57" t="s">
        <v>193</v>
      </c>
      <c r="I486" s="33">
        <f t="shared" si="1"/>
        <v>0.92933753943217678</v>
      </c>
    </row>
    <row r="487" spans="1:9" x14ac:dyDescent="0.2">
      <c r="A487" s="70">
        <v>44685</v>
      </c>
      <c r="B487" s="57">
        <v>2354</v>
      </c>
      <c r="C487" s="57">
        <v>3</v>
      </c>
      <c r="D487" s="57" t="s">
        <v>192</v>
      </c>
      <c r="E487" s="57">
        <v>0</v>
      </c>
      <c r="F487" s="57">
        <v>2.1312000000000002</v>
      </c>
      <c r="G487" s="57">
        <v>1.1045</v>
      </c>
      <c r="I487" s="33">
        <f t="shared" si="1"/>
        <v>0.92956088727931208</v>
      </c>
    </row>
    <row r="488" spans="1:9" x14ac:dyDescent="0.2">
      <c r="A488" s="70">
        <v>44706</v>
      </c>
      <c r="B488" s="57">
        <v>2347</v>
      </c>
      <c r="C488" s="57">
        <v>1</v>
      </c>
      <c r="D488" s="57" t="s">
        <v>175</v>
      </c>
      <c r="E488" s="57">
        <v>1</v>
      </c>
      <c r="F488" s="57">
        <v>0.1595</v>
      </c>
      <c r="G488" s="57">
        <v>8.2600000000000007E-2</v>
      </c>
      <c r="H488" s="57" t="s">
        <v>193</v>
      </c>
      <c r="I488" s="33">
        <f t="shared" si="1"/>
        <v>0.93099273607748168</v>
      </c>
    </row>
    <row r="489" spans="1:9" x14ac:dyDescent="0.2">
      <c r="A489" s="70">
        <v>44685</v>
      </c>
      <c r="B489" s="57">
        <v>2372</v>
      </c>
      <c r="C489" s="57">
        <v>1</v>
      </c>
      <c r="D489" s="57" t="s">
        <v>192</v>
      </c>
      <c r="E489" s="57">
        <v>0</v>
      </c>
      <c r="F489" s="57">
        <v>0.94740000000000002</v>
      </c>
      <c r="G489" s="57">
        <v>0.49059999999999998</v>
      </c>
      <c r="I489" s="33">
        <f t="shared" si="1"/>
        <v>0.93110476966979216</v>
      </c>
    </row>
    <row r="490" spans="1:9" x14ac:dyDescent="0.2">
      <c r="A490" s="70">
        <v>44685</v>
      </c>
      <c r="B490" s="57">
        <v>2383</v>
      </c>
      <c r="C490" s="57">
        <v>3</v>
      </c>
      <c r="D490" s="57" t="s">
        <v>192</v>
      </c>
      <c r="E490" s="57">
        <v>0</v>
      </c>
      <c r="F490" s="57">
        <v>0.63870000000000005</v>
      </c>
      <c r="G490" s="57">
        <v>0.3306</v>
      </c>
      <c r="I490" s="33">
        <f t="shared" si="1"/>
        <v>0.93194192377495477</v>
      </c>
    </row>
    <row r="491" spans="1:9" x14ac:dyDescent="0.2">
      <c r="A491" s="70">
        <v>44662</v>
      </c>
      <c r="B491" s="57">
        <v>2092</v>
      </c>
      <c r="C491" s="57">
        <v>2</v>
      </c>
      <c r="D491" s="57" t="s">
        <v>175</v>
      </c>
      <c r="E491" s="57">
        <v>1</v>
      </c>
      <c r="F491" s="57">
        <v>0.81920000000000004</v>
      </c>
      <c r="G491" s="57">
        <v>0.42399999999999999</v>
      </c>
      <c r="H491" s="57" t="s">
        <v>191</v>
      </c>
      <c r="I491" s="33">
        <f t="shared" si="1"/>
        <v>0.93207547169811333</v>
      </c>
    </row>
    <row r="492" spans="1:9" x14ac:dyDescent="0.2">
      <c r="A492" s="70">
        <v>44706</v>
      </c>
      <c r="B492" s="57">
        <v>2375</v>
      </c>
      <c r="C492" s="57">
        <v>1</v>
      </c>
      <c r="D492" s="57" t="s">
        <v>175</v>
      </c>
      <c r="E492" s="57">
        <v>1</v>
      </c>
      <c r="F492" s="57">
        <v>0.20100000000000001</v>
      </c>
      <c r="G492" s="57">
        <v>0.104</v>
      </c>
      <c r="H492" s="57" t="s">
        <v>193</v>
      </c>
      <c r="I492" s="33">
        <f t="shared" si="1"/>
        <v>0.93269230769230793</v>
      </c>
    </row>
    <row r="493" spans="1:9" x14ac:dyDescent="0.2">
      <c r="A493" s="70">
        <v>44704</v>
      </c>
      <c r="B493" s="57">
        <v>2031</v>
      </c>
      <c r="C493" s="57">
        <v>3</v>
      </c>
      <c r="D493" s="57" t="s">
        <v>175</v>
      </c>
      <c r="E493" s="57">
        <v>1</v>
      </c>
      <c r="F493" s="57">
        <v>9.1999999999999998E-2</v>
      </c>
      <c r="G493" s="57">
        <v>4.7600000000000003E-2</v>
      </c>
      <c r="I493" s="33">
        <f t="shared" si="1"/>
        <v>0.93277310924369727</v>
      </c>
    </row>
    <row r="494" spans="1:9" x14ac:dyDescent="0.2">
      <c r="A494" s="70">
        <v>44706</v>
      </c>
      <c r="B494" s="57">
        <v>2025</v>
      </c>
      <c r="C494" s="57">
        <v>3</v>
      </c>
      <c r="D494" s="57" t="s">
        <v>192</v>
      </c>
      <c r="E494" s="57">
        <v>0</v>
      </c>
      <c r="F494" s="57">
        <v>1.216</v>
      </c>
      <c r="G494" s="57">
        <v>0.629</v>
      </c>
      <c r="H494" s="57" t="s">
        <v>193</v>
      </c>
      <c r="I494" s="33">
        <f t="shared" si="1"/>
        <v>0.93322734499205084</v>
      </c>
    </row>
    <row r="495" spans="1:9" x14ac:dyDescent="0.2">
      <c r="A495" s="70">
        <v>44690</v>
      </c>
      <c r="B495" s="57">
        <v>2029</v>
      </c>
      <c r="C495" s="57">
        <v>2</v>
      </c>
      <c r="D495" s="57" t="s">
        <v>175</v>
      </c>
      <c r="E495" s="57">
        <v>1</v>
      </c>
      <c r="F495" s="57">
        <v>0.29780000000000001</v>
      </c>
      <c r="G495" s="72">
        <v>0.154</v>
      </c>
      <c r="I495" s="33">
        <f t="shared" si="1"/>
        <v>0.9337662337662338</v>
      </c>
    </row>
    <row r="496" spans="1:9" x14ac:dyDescent="0.2">
      <c r="A496" s="70">
        <v>44684</v>
      </c>
      <c r="B496" s="57">
        <v>2010</v>
      </c>
      <c r="C496" s="57">
        <v>2</v>
      </c>
      <c r="D496" s="57" t="s">
        <v>192</v>
      </c>
      <c r="E496" s="57">
        <v>0</v>
      </c>
      <c r="F496" s="57">
        <v>0.93310000000000004</v>
      </c>
      <c r="G496" s="57">
        <v>0.48249999999999998</v>
      </c>
      <c r="H496" s="57" t="s">
        <v>196</v>
      </c>
      <c r="I496" s="33">
        <f t="shared" si="1"/>
        <v>0.93388601036269447</v>
      </c>
    </row>
    <row r="497" spans="1:9" x14ac:dyDescent="0.2">
      <c r="A497" s="70">
        <v>44685</v>
      </c>
      <c r="B497" s="57">
        <v>2377</v>
      </c>
      <c r="C497" s="57">
        <v>1</v>
      </c>
      <c r="D497" s="57" t="s">
        <v>175</v>
      </c>
      <c r="E497" s="57">
        <v>1</v>
      </c>
      <c r="F497" s="57">
        <v>0.47539999999999999</v>
      </c>
      <c r="G497" s="57">
        <v>0.24579999999999999</v>
      </c>
      <c r="I497" s="33">
        <f t="shared" si="1"/>
        <v>0.93409275834011396</v>
      </c>
    </row>
    <row r="498" spans="1:9" x14ac:dyDescent="0.2">
      <c r="A498" s="70">
        <v>44704</v>
      </c>
      <c r="B498" s="57">
        <v>2028</v>
      </c>
      <c r="C498" s="57">
        <v>2</v>
      </c>
      <c r="D498" s="57" t="s">
        <v>175</v>
      </c>
      <c r="E498" s="57">
        <v>1</v>
      </c>
      <c r="F498" s="57">
        <v>0.1087</v>
      </c>
      <c r="G498" s="57">
        <v>5.62E-2</v>
      </c>
      <c r="I498" s="33">
        <f t="shared" si="1"/>
        <v>0.9341637010676157</v>
      </c>
    </row>
    <row r="499" spans="1:9" x14ac:dyDescent="0.2">
      <c r="A499" s="70">
        <v>44704</v>
      </c>
      <c r="B499" s="57">
        <v>2360</v>
      </c>
      <c r="C499" s="57">
        <v>1</v>
      </c>
      <c r="D499" s="57" t="s">
        <v>175</v>
      </c>
      <c r="E499" s="57">
        <v>1</v>
      </c>
      <c r="F499" s="57">
        <v>0.15670000000000001</v>
      </c>
      <c r="G499" s="57">
        <v>8.1000000000000003E-2</v>
      </c>
      <c r="I499" s="33">
        <f t="shared" si="1"/>
        <v>0.9345679012345679</v>
      </c>
    </row>
    <row r="500" spans="1:9" x14ac:dyDescent="0.2">
      <c r="A500" s="70">
        <v>44665</v>
      </c>
      <c r="B500" s="57">
        <v>2377</v>
      </c>
      <c r="C500" s="57">
        <v>1</v>
      </c>
      <c r="D500" s="57" t="s">
        <v>175</v>
      </c>
      <c r="E500" s="57">
        <v>1</v>
      </c>
      <c r="F500" s="57">
        <v>0.72450000000000003</v>
      </c>
      <c r="G500" s="57">
        <v>0.3745</v>
      </c>
      <c r="H500" s="57" t="s">
        <v>191</v>
      </c>
      <c r="I500" s="33">
        <f t="shared" si="1"/>
        <v>0.93457943925233655</v>
      </c>
    </row>
    <row r="501" spans="1:9" x14ac:dyDescent="0.2">
      <c r="A501" s="70">
        <v>44684</v>
      </c>
      <c r="B501" s="57">
        <v>2343</v>
      </c>
      <c r="C501" s="57">
        <v>1</v>
      </c>
      <c r="D501" s="57" t="s">
        <v>192</v>
      </c>
      <c r="E501" s="57">
        <v>0</v>
      </c>
      <c r="F501" s="57">
        <v>4.1227999999999998</v>
      </c>
      <c r="G501" s="57">
        <v>2.1309999999999998</v>
      </c>
      <c r="H501" s="57" t="s">
        <v>196</v>
      </c>
      <c r="I501" s="33">
        <f t="shared" si="1"/>
        <v>0.93467855466916949</v>
      </c>
    </row>
    <row r="502" spans="1:9" x14ac:dyDescent="0.2">
      <c r="A502" s="70">
        <v>44665</v>
      </c>
      <c r="B502" s="57">
        <v>2379</v>
      </c>
      <c r="C502" s="57">
        <v>2</v>
      </c>
      <c r="D502" s="57" t="s">
        <v>175</v>
      </c>
      <c r="E502" s="57">
        <v>1</v>
      </c>
      <c r="F502" s="57">
        <v>1.2313000000000001</v>
      </c>
      <c r="G502" s="57">
        <v>0.63629999999999998</v>
      </c>
      <c r="H502" s="57" t="s">
        <v>191</v>
      </c>
      <c r="I502" s="33">
        <f t="shared" si="1"/>
        <v>0.93509350935093527</v>
      </c>
    </row>
    <row r="503" spans="1:9" x14ac:dyDescent="0.2">
      <c r="A503" s="70">
        <v>44650</v>
      </c>
      <c r="B503" s="57">
        <v>2376</v>
      </c>
      <c r="C503" s="57">
        <v>3</v>
      </c>
      <c r="D503" s="57" t="s">
        <v>175</v>
      </c>
      <c r="E503" s="57" t="s">
        <v>60</v>
      </c>
      <c r="F503" s="57">
        <v>0.23430000000000001</v>
      </c>
      <c r="G503" s="57">
        <v>0.121</v>
      </c>
      <c r="H503" s="57" t="s">
        <v>191</v>
      </c>
      <c r="I503" s="33">
        <f t="shared" si="1"/>
        <v>0.93636363636363651</v>
      </c>
    </row>
    <row r="504" spans="1:9" x14ac:dyDescent="0.2">
      <c r="A504" s="70">
        <v>44704</v>
      </c>
      <c r="B504" s="57">
        <v>2031</v>
      </c>
      <c r="C504" s="57">
        <v>3</v>
      </c>
      <c r="D504" s="57" t="s">
        <v>175</v>
      </c>
      <c r="E504" s="57">
        <v>1</v>
      </c>
      <c r="F504" s="57">
        <v>0.56950000000000001</v>
      </c>
      <c r="G504" s="57">
        <v>0.29409999999999997</v>
      </c>
      <c r="I504" s="33">
        <f t="shared" si="1"/>
        <v>0.93641618497109846</v>
      </c>
    </row>
    <row r="505" spans="1:9" x14ac:dyDescent="0.2">
      <c r="A505" s="70">
        <v>44708</v>
      </c>
      <c r="B505" s="57">
        <v>2085</v>
      </c>
      <c r="C505" s="57">
        <v>3</v>
      </c>
      <c r="D505" s="57" t="s">
        <v>175</v>
      </c>
      <c r="E505" s="57">
        <v>0</v>
      </c>
      <c r="F505" s="57">
        <v>3.1E-2</v>
      </c>
      <c r="G505" s="57">
        <v>1.6E-2</v>
      </c>
      <c r="H505" s="57" t="s">
        <v>193</v>
      </c>
      <c r="I505" s="33">
        <f t="shared" si="1"/>
        <v>0.9375</v>
      </c>
    </row>
    <row r="506" spans="1:9" x14ac:dyDescent="0.2">
      <c r="A506" s="70">
        <v>44690</v>
      </c>
      <c r="B506" s="57">
        <v>2022</v>
      </c>
      <c r="C506" s="57">
        <v>1</v>
      </c>
      <c r="D506" s="57" t="s">
        <v>192</v>
      </c>
      <c r="E506" s="57">
        <v>0</v>
      </c>
      <c r="F506" s="57">
        <v>1.3589</v>
      </c>
      <c r="G506" s="57">
        <v>0.70130000000000003</v>
      </c>
      <c r="I506" s="33">
        <f t="shared" si="1"/>
        <v>0.93768715243119916</v>
      </c>
    </row>
    <row r="507" spans="1:9" x14ac:dyDescent="0.2">
      <c r="A507" s="70">
        <v>44684</v>
      </c>
      <c r="B507" s="57">
        <v>2346</v>
      </c>
      <c r="C507" s="57">
        <v>1</v>
      </c>
      <c r="D507" s="57" t="s">
        <v>192</v>
      </c>
      <c r="E507" s="57">
        <v>0</v>
      </c>
      <c r="F507" s="57">
        <v>0.44629999999999997</v>
      </c>
      <c r="G507" s="57">
        <v>0.2303</v>
      </c>
      <c r="H507" s="57" t="s">
        <v>196</v>
      </c>
      <c r="I507" s="33">
        <f t="shared" si="1"/>
        <v>0.93790707772470672</v>
      </c>
    </row>
    <row r="508" spans="1:9" x14ac:dyDescent="0.2">
      <c r="A508" s="70">
        <v>44684</v>
      </c>
      <c r="B508" s="57">
        <v>2010</v>
      </c>
      <c r="C508" s="57">
        <v>3</v>
      </c>
      <c r="D508" s="57" t="s">
        <v>192</v>
      </c>
      <c r="E508" s="57">
        <v>0</v>
      </c>
      <c r="F508" s="57">
        <v>1.1733</v>
      </c>
      <c r="G508" s="57">
        <v>0.60529999999999995</v>
      </c>
      <c r="H508" s="57" t="s">
        <v>196</v>
      </c>
      <c r="I508" s="33">
        <f t="shared" si="1"/>
        <v>0.93837766396828037</v>
      </c>
    </row>
    <row r="509" spans="1:9" x14ac:dyDescent="0.2">
      <c r="A509" s="70">
        <v>44684</v>
      </c>
      <c r="B509" s="57">
        <v>2347</v>
      </c>
      <c r="C509" s="57">
        <v>2</v>
      </c>
      <c r="D509" s="57" t="s">
        <v>192</v>
      </c>
      <c r="E509" s="57">
        <v>0</v>
      </c>
      <c r="F509" s="57">
        <v>0.91259999999999997</v>
      </c>
      <c r="G509" s="57">
        <v>0.47070000000000001</v>
      </c>
      <c r="H509" s="57" t="s">
        <v>196</v>
      </c>
      <c r="I509" s="33">
        <f t="shared" si="1"/>
        <v>0.93881453154875705</v>
      </c>
    </row>
    <row r="510" spans="1:9" x14ac:dyDescent="0.2">
      <c r="A510" s="70">
        <v>44690</v>
      </c>
      <c r="B510" s="57">
        <v>2024</v>
      </c>
      <c r="C510" s="57">
        <v>1</v>
      </c>
      <c r="D510" s="57" t="s">
        <v>192</v>
      </c>
      <c r="E510" s="57">
        <v>0</v>
      </c>
      <c r="F510" s="57">
        <v>1.8365</v>
      </c>
      <c r="G510" s="57">
        <v>0.94699999999999995</v>
      </c>
      <c r="I510" s="33">
        <f t="shared" si="1"/>
        <v>0.93928194297782486</v>
      </c>
    </row>
    <row r="511" spans="1:9" x14ac:dyDescent="0.2">
      <c r="A511" s="70">
        <v>44708</v>
      </c>
      <c r="B511" s="57">
        <v>1478</v>
      </c>
      <c r="C511" s="57">
        <v>2</v>
      </c>
      <c r="D511" s="57" t="s">
        <v>192</v>
      </c>
      <c r="E511" s="57">
        <v>0</v>
      </c>
      <c r="F511" s="57">
        <v>0.73499999999999999</v>
      </c>
      <c r="G511" s="57">
        <v>0.379</v>
      </c>
      <c r="H511" s="57" t="s">
        <v>193</v>
      </c>
      <c r="I511" s="33">
        <f t="shared" si="1"/>
        <v>0.93931398416886536</v>
      </c>
    </row>
    <row r="512" spans="1:9" x14ac:dyDescent="0.2">
      <c r="A512" s="70">
        <v>44704</v>
      </c>
      <c r="B512" s="57">
        <v>2367</v>
      </c>
      <c r="C512" s="57">
        <v>1</v>
      </c>
      <c r="D512" s="57" t="s">
        <v>175</v>
      </c>
      <c r="E512" s="57">
        <v>1</v>
      </c>
      <c r="F512" s="57">
        <v>0.34520000000000001</v>
      </c>
      <c r="G512" s="57">
        <v>0.17799999999999999</v>
      </c>
      <c r="I512" s="33">
        <f t="shared" ref="I512:I766" si="2">((F512-G512)/G512)</f>
        <v>0.93932584269662933</v>
      </c>
    </row>
    <row r="513" spans="1:9" x14ac:dyDescent="0.2">
      <c r="A513" s="70">
        <v>44690</v>
      </c>
      <c r="B513" s="57">
        <v>2025</v>
      </c>
      <c r="C513" s="57">
        <v>3</v>
      </c>
      <c r="D513" s="57" t="s">
        <v>175</v>
      </c>
      <c r="E513" s="57">
        <v>1</v>
      </c>
      <c r="F513" s="57">
        <v>0.48270000000000002</v>
      </c>
      <c r="G513" s="57">
        <v>0.24890000000000001</v>
      </c>
      <c r="I513" s="33">
        <f t="shared" si="2"/>
        <v>0.93933306548814788</v>
      </c>
    </row>
    <row r="514" spans="1:9" x14ac:dyDescent="0.2">
      <c r="A514" s="70">
        <v>44704</v>
      </c>
      <c r="B514" s="57">
        <v>2367</v>
      </c>
      <c r="C514" s="57">
        <v>1</v>
      </c>
      <c r="D514" s="57" t="s">
        <v>192</v>
      </c>
      <c r="E514" s="57">
        <v>0</v>
      </c>
      <c r="F514" s="57">
        <v>0.57830000000000004</v>
      </c>
      <c r="G514" s="57">
        <v>0.29799999999999999</v>
      </c>
      <c r="I514" s="33">
        <f t="shared" si="2"/>
        <v>0.94060402684563782</v>
      </c>
    </row>
    <row r="515" spans="1:9" x14ac:dyDescent="0.2">
      <c r="A515" s="70">
        <v>44684</v>
      </c>
      <c r="B515" s="57">
        <v>2081</v>
      </c>
      <c r="C515" s="57">
        <v>1</v>
      </c>
      <c r="D515" s="57" t="s">
        <v>192</v>
      </c>
      <c r="E515" s="57">
        <v>0</v>
      </c>
      <c r="F515" s="57">
        <v>0.11799999999999999</v>
      </c>
      <c r="G515" s="57">
        <v>6.08E-2</v>
      </c>
      <c r="H515" s="57" t="s">
        <v>196</v>
      </c>
      <c r="I515" s="33">
        <f t="shared" si="2"/>
        <v>0.9407894736842104</v>
      </c>
    </row>
    <row r="516" spans="1:9" x14ac:dyDescent="0.2">
      <c r="A516" s="70">
        <v>44650</v>
      </c>
      <c r="B516" s="57">
        <v>2380</v>
      </c>
      <c r="C516" s="57">
        <v>3</v>
      </c>
      <c r="D516" s="57" t="s">
        <v>175</v>
      </c>
      <c r="E516" s="57">
        <v>1</v>
      </c>
      <c r="F516" s="57">
        <v>0.51439999999999997</v>
      </c>
      <c r="G516" s="57">
        <v>0.26500000000000001</v>
      </c>
      <c r="H516" s="57" t="s">
        <v>191</v>
      </c>
      <c r="I516" s="33">
        <f t="shared" si="2"/>
        <v>0.94113207547169786</v>
      </c>
    </row>
    <row r="517" spans="1:9" x14ac:dyDescent="0.2">
      <c r="A517" s="70">
        <v>44665</v>
      </c>
      <c r="B517" s="57">
        <v>2383</v>
      </c>
      <c r="C517" s="57">
        <v>2</v>
      </c>
      <c r="D517" s="57" t="s">
        <v>175</v>
      </c>
      <c r="E517" s="57">
        <v>0</v>
      </c>
      <c r="F517" s="57">
        <v>0.16520000000000001</v>
      </c>
      <c r="G517" s="57">
        <v>8.5099999999999995E-2</v>
      </c>
      <c r="H517" s="57" t="s">
        <v>191</v>
      </c>
      <c r="I517" s="33">
        <f t="shared" si="2"/>
        <v>0.94124559341950675</v>
      </c>
    </row>
    <row r="518" spans="1:9" x14ac:dyDescent="0.2">
      <c r="A518" s="70">
        <v>44685</v>
      </c>
      <c r="B518" s="57">
        <v>2301</v>
      </c>
      <c r="C518" s="57">
        <v>2</v>
      </c>
      <c r="D518" s="57" t="s">
        <v>175</v>
      </c>
      <c r="E518" s="57">
        <v>1</v>
      </c>
      <c r="F518" s="57">
        <v>0.2107</v>
      </c>
      <c r="G518" s="57">
        <v>0.1085</v>
      </c>
      <c r="I518" s="33">
        <f t="shared" si="2"/>
        <v>0.9419354838709677</v>
      </c>
    </row>
    <row r="519" spans="1:9" x14ac:dyDescent="0.2">
      <c r="A519" s="70">
        <v>44650</v>
      </c>
      <c r="B519" s="57">
        <v>2377</v>
      </c>
      <c r="C519" s="57">
        <v>3</v>
      </c>
      <c r="D519" s="57" t="s">
        <v>175</v>
      </c>
      <c r="E519" s="57" t="s">
        <v>60</v>
      </c>
      <c r="F519" s="57">
        <v>0.439</v>
      </c>
      <c r="G519" s="57">
        <v>0.22600000000000001</v>
      </c>
      <c r="H519" s="57" t="s">
        <v>191</v>
      </c>
      <c r="I519" s="33">
        <f t="shared" si="2"/>
        <v>0.9424778761061946</v>
      </c>
    </row>
    <row r="520" spans="1:9" x14ac:dyDescent="0.2">
      <c r="A520" s="70">
        <v>44706</v>
      </c>
      <c r="B520" s="57">
        <v>2011</v>
      </c>
      <c r="C520" s="57">
        <v>3</v>
      </c>
      <c r="D520" s="57" t="s">
        <v>192</v>
      </c>
      <c r="E520" s="57">
        <v>0</v>
      </c>
      <c r="F520" s="57">
        <v>0.78100000000000003</v>
      </c>
      <c r="G520" s="57">
        <v>0.40200000000000002</v>
      </c>
      <c r="H520" s="57" t="s">
        <v>193</v>
      </c>
      <c r="I520" s="33">
        <f t="shared" si="2"/>
        <v>0.94278606965174128</v>
      </c>
    </row>
    <row r="521" spans="1:9" x14ac:dyDescent="0.2">
      <c r="A521" s="70">
        <v>44706</v>
      </c>
      <c r="B521" s="57">
        <v>2009</v>
      </c>
      <c r="C521" s="57">
        <v>2</v>
      </c>
      <c r="D521" s="57" t="s">
        <v>175</v>
      </c>
      <c r="E521" s="57">
        <v>1</v>
      </c>
      <c r="F521" s="57">
        <v>0.26819999999999999</v>
      </c>
      <c r="G521" s="57">
        <v>0.13800000000000001</v>
      </c>
      <c r="H521" s="57" t="s">
        <v>193</v>
      </c>
      <c r="I521" s="33">
        <f t="shared" si="2"/>
        <v>0.94347826086956499</v>
      </c>
    </row>
    <row r="522" spans="1:9" x14ac:dyDescent="0.2">
      <c r="A522" s="70">
        <v>44684</v>
      </c>
      <c r="B522" s="57">
        <v>2347</v>
      </c>
      <c r="C522" s="57">
        <v>1</v>
      </c>
      <c r="D522" s="57" t="s">
        <v>192</v>
      </c>
      <c r="E522" s="57">
        <v>0</v>
      </c>
      <c r="F522" s="57">
        <v>1.2465999999999999</v>
      </c>
      <c r="G522" s="57">
        <v>0.64139999999999997</v>
      </c>
      <c r="H522" s="57" t="s">
        <v>196</v>
      </c>
      <c r="I522" s="33">
        <f t="shared" si="2"/>
        <v>0.94356096039912685</v>
      </c>
    </row>
    <row r="523" spans="1:9" x14ac:dyDescent="0.2">
      <c r="A523" s="70">
        <v>44706</v>
      </c>
      <c r="B523" s="57">
        <v>2011</v>
      </c>
      <c r="C523" s="57">
        <v>2</v>
      </c>
      <c r="D523" s="57" t="s">
        <v>192</v>
      </c>
      <c r="E523" s="57">
        <v>0</v>
      </c>
      <c r="F523" s="57">
        <v>0.58140000000000003</v>
      </c>
      <c r="G523" s="57">
        <v>0.29899999999999999</v>
      </c>
      <c r="H523" s="57" t="s">
        <v>193</v>
      </c>
      <c r="I523" s="33">
        <f t="shared" si="2"/>
        <v>0.94448160535117076</v>
      </c>
    </row>
    <row r="524" spans="1:9" x14ac:dyDescent="0.2">
      <c r="A524" s="70">
        <v>44685</v>
      </c>
      <c r="B524" s="57">
        <v>2379</v>
      </c>
      <c r="C524" s="57">
        <v>3</v>
      </c>
      <c r="D524" s="57" t="s">
        <v>192</v>
      </c>
      <c r="E524" s="57">
        <v>0</v>
      </c>
      <c r="F524" s="57">
        <v>0.7016</v>
      </c>
      <c r="G524" s="57">
        <v>0.36080000000000001</v>
      </c>
      <c r="I524" s="33">
        <f t="shared" si="2"/>
        <v>0.94456762749445666</v>
      </c>
    </row>
    <row r="525" spans="1:9" x14ac:dyDescent="0.2">
      <c r="A525" s="70">
        <v>44690</v>
      </c>
      <c r="B525" s="57">
        <v>2021</v>
      </c>
      <c r="C525" s="57">
        <v>1</v>
      </c>
      <c r="D525" s="57" t="s">
        <v>192</v>
      </c>
      <c r="E525" s="57">
        <v>0</v>
      </c>
      <c r="F525" s="57">
        <v>1.0132000000000001</v>
      </c>
      <c r="G525" s="72">
        <v>0.52100000000000002</v>
      </c>
      <c r="I525" s="33">
        <f t="shared" si="2"/>
        <v>0.94472168905950105</v>
      </c>
    </row>
    <row r="526" spans="1:9" x14ac:dyDescent="0.2">
      <c r="A526" s="70">
        <v>44684</v>
      </c>
      <c r="B526" s="57">
        <v>2364</v>
      </c>
      <c r="C526" s="57">
        <v>1</v>
      </c>
      <c r="D526" s="57" t="s">
        <v>192</v>
      </c>
      <c r="E526" s="57">
        <v>0</v>
      </c>
      <c r="F526" s="57">
        <v>2.9396</v>
      </c>
      <c r="G526" s="57">
        <v>1.5115000000000001</v>
      </c>
      <c r="H526" s="57" t="s">
        <v>196</v>
      </c>
      <c r="I526" s="33">
        <f t="shared" si="2"/>
        <v>0.94482302348660263</v>
      </c>
    </row>
    <row r="527" spans="1:9" x14ac:dyDescent="0.2">
      <c r="A527" s="70">
        <v>44706</v>
      </c>
      <c r="B527" s="57">
        <v>2009</v>
      </c>
      <c r="C527" s="57">
        <v>1</v>
      </c>
      <c r="D527" s="57" t="s">
        <v>175</v>
      </c>
      <c r="E527" s="57">
        <v>1</v>
      </c>
      <c r="F527" s="57">
        <v>0.43759999999999999</v>
      </c>
      <c r="G527" s="57">
        <v>0.22500000000000001</v>
      </c>
      <c r="H527" s="57" t="s">
        <v>193</v>
      </c>
      <c r="I527" s="33">
        <f t="shared" si="2"/>
        <v>0.94488888888888878</v>
      </c>
    </row>
    <row r="528" spans="1:9" x14ac:dyDescent="0.2">
      <c r="A528" s="70">
        <v>44690</v>
      </c>
      <c r="B528" s="57">
        <v>2030</v>
      </c>
      <c r="C528" s="57">
        <v>3</v>
      </c>
      <c r="D528" s="57" t="s">
        <v>175</v>
      </c>
      <c r="E528" s="57">
        <v>1</v>
      </c>
      <c r="F528" s="57">
        <v>0.27489999999999998</v>
      </c>
      <c r="G528" s="57">
        <v>0.14130000000000001</v>
      </c>
      <c r="I528" s="33">
        <f t="shared" si="2"/>
        <v>0.94550601556970959</v>
      </c>
    </row>
    <row r="529" spans="1:9" x14ac:dyDescent="0.2">
      <c r="A529" s="70">
        <v>44706</v>
      </c>
      <c r="B529" s="57">
        <v>2010</v>
      </c>
      <c r="C529" s="57">
        <v>3</v>
      </c>
      <c r="D529" s="57" t="s">
        <v>192</v>
      </c>
      <c r="E529" s="57">
        <v>0</v>
      </c>
      <c r="F529" s="57">
        <v>2.3776999999999999</v>
      </c>
      <c r="G529" s="57">
        <v>1.222</v>
      </c>
      <c r="H529" s="57" t="s">
        <v>193</v>
      </c>
      <c r="I529" s="33">
        <f t="shared" si="2"/>
        <v>0.94574468085106378</v>
      </c>
    </row>
    <row r="530" spans="1:9" x14ac:dyDescent="0.2">
      <c r="A530" s="70">
        <v>44706</v>
      </c>
      <c r="B530" s="57">
        <v>2381</v>
      </c>
      <c r="C530" s="57">
        <v>2</v>
      </c>
      <c r="D530" s="57" t="s">
        <v>192</v>
      </c>
      <c r="E530" s="57">
        <v>0</v>
      </c>
      <c r="F530" s="57">
        <v>1.6365000000000001</v>
      </c>
      <c r="G530" s="57">
        <v>0.84099999999999997</v>
      </c>
      <c r="H530" s="57" t="s">
        <v>193</v>
      </c>
      <c r="I530" s="33">
        <f t="shared" si="2"/>
        <v>0.94589774078478017</v>
      </c>
    </row>
    <row r="531" spans="1:9" x14ac:dyDescent="0.2">
      <c r="A531" s="70">
        <v>44706</v>
      </c>
      <c r="B531" s="57">
        <v>2371</v>
      </c>
      <c r="C531" s="57">
        <v>3</v>
      </c>
      <c r="D531" s="57" t="s">
        <v>175</v>
      </c>
      <c r="E531" s="57">
        <v>0</v>
      </c>
      <c r="F531" s="57">
        <v>2.53E-2</v>
      </c>
      <c r="G531" s="57">
        <v>1.2999999999999999E-2</v>
      </c>
      <c r="H531" s="57" t="s">
        <v>193</v>
      </c>
      <c r="I531" s="33">
        <f t="shared" si="2"/>
        <v>0.94615384615384623</v>
      </c>
    </row>
    <row r="532" spans="1:9" x14ac:dyDescent="0.2">
      <c r="A532" s="70">
        <v>44706</v>
      </c>
      <c r="B532" s="57">
        <v>2024</v>
      </c>
      <c r="C532" s="57">
        <v>2</v>
      </c>
      <c r="D532" s="57" t="s">
        <v>175</v>
      </c>
      <c r="E532" s="57">
        <v>1</v>
      </c>
      <c r="F532" s="57">
        <v>0.16159999999999999</v>
      </c>
      <c r="G532" s="57">
        <v>8.3000000000000004E-2</v>
      </c>
      <c r="H532" s="57" t="s">
        <v>193</v>
      </c>
      <c r="I532" s="33">
        <f t="shared" si="2"/>
        <v>0.94698795180722872</v>
      </c>
    </row>
    <row r="533" spans="1:9" x14ac:dyDescent="0.2">
      <c r="A533" s="70">
        <v>44685</v>
      </c>
      <c r="B533" s="57">
        <v>2375</v>
      </c>
      <c r="C533" s="57">
        <v>3</v>
      </c>
      <c r="D533" s="57" t="s">
        <v>175</v>
      </c>
      <c r="E533" s="57">
        <v>1</v>
      </c>
      <c r="F533" s="57">
        <v>0.1578</v>
      </c>
      <c r="G533" s="57">
        <v>8.1000000000000003E-2</v>
      </c>
      <c r="I533" s="33">
        <f t="shared" si="2"/>
        <v>0.94814814814814807</v>
      </c>
    </row>
    <row r="534" spans="1:9" x14ac:dyDescent="0.2">
      <c r="A534" s="70">
        <v>44684</v>
      </c>
      <c r="B534" s="57">
        <v>2364</v>
      </c>
      <c r="C534" s="57">
        <v>1</v>
      </c>
      <c r="D534" s="57" t="s">
        <v>175</v>
      </c>
      <c r="E534" s="57">
        <v>0</v>
      </c>
      <c r="F534" s="57">
        <v>0.44890000000000002</v>
      </c>
      <c r="G534" s="57">
        <v>0.23039999999999999</v>
      </c>
      <c r="H534" s="57" t="s">
        <v>196</v>
      </c>
      <c r="I534" s="33">
        <f t="shared" si="2"/>
        <v>0.94835069444444464</v>
      </c>
    </row>
    <row r="535" spans="1:9" x14ac:dyDescent="0.2">
      <c r="A535" s="70">
        <v>44690</v>
      </c>
      <c r="B535" s="57">
        <v>2024</v>
      </c>
      <c r="C535" s="57">
        <v>1</v>
      </c>
      <c r="D535" s="57" t="s">
        <v>175</v>
      </c>
      <c r="E535" s="57">
        <v>1</v>
      </c>
      <c r="F535" s="57">
        <v>0.29430000000000001</v>
      </c>
      <c r="G535" s="57">
        <v>0.151</v>
      </c>
      <c r="I535" s="33">
        <f t="shared" si="2"/>
        <v>0.94900662251655643</v>
      </c>
    </row>
    <row r="536" spans="1:9" x14ac:dyDescent="0.2">
      <c r="A536" s="70">
        <v>44706</v>
      </c>
      <c r="B536" s="57">
        <v>2011</v>
      </c>
      <c r="C536" s="57">
        <v>3</v>
      </c>
      <c r="D536" s="57" t="s">
        <v>175</v>
      </c>
      <c r="E536" s="57">
        <v>1</v>
      </c>
      <c r="F536" s="57">
        <v>0.56330000000000002</v>
      </c>
      <c r="G536" s="57">
        <v>0.28899999999999998</v>
      </c>
      <c r="H536" s="57" t="s">
        <v>193</v>
      </c>
      <c r="I536" s="33">
        <f t="shared" si="2"/>
        <v>0.94913494809688603</v>
      </c>
    </row>
    <row r="537" spans="1:9" x14ac:dyDescent="0.2">
      <c r="A537" s="70">
        <v>44704</v>
      </c>
      <c r="B537" s="57">
        <v>2384</v>
      </c>
      <c r="C537" s="57">
        <v>2</v>
      </c>
      <c r="D537" s="57" t="s">
        <v>175</v>
      </c>
      <c r="E537" s="57">
        <v>0</v>
      </c>
      <c r="F537" s="57">
        <v>0.1419</v>
      </c>
      <c r="G537" s="57">
        <v>7.2800000000000004E-2</v>
      </c>
      <c r="I537" s="33">
        <f t="shared" si="2"/>
        <v>0.94917582417582402</v>
      </c>
    </row>
    <row r="538" spans="1:9" x14ac:dyDescent="0.2">
      <c r="A538" s="70">
        <v>44685</v>
      </c>
      <c r="B538" s="57">
        <v>2011</v>
      </c>
      <c r="C538" s="57">
        <v>2</v>
      </c>
      <c r="D538" s="57" t="s">
        <v>192</v>
      </c>
      <c r="E538" s="57">
        <v>0</v>
      </c>
      <c r="F538" s="57">
        <v>0.79979999999999996</v>
      </c>
      <c r="G538" s="57">
        <v>0.4103</v>
      </c>
      <c r="I538" s="33">
        <f t="shared" si="2"/>
        <v>0.94930538630270522</v>
      </c>
    </row>
    <row r="539" spans="1:9" x14ac:dyDescent="0.2">
      <c r="A539" s="70">
        <v>44684</v>
      </c>
      <c r="B539" s="57">
        <v>2010</v>
      </c>
      <c r="C539" s="57">
        <v>1</v>
      </c>
      <c r="D539" s="57" t="s">
        <v>192</v>
      </c>
      <c r="E539" s="57">
        <v>0</v>
      </c>
      <c r="F539" s="57">
        <v>1.7985</v>
      </c>
      <c r="G539" s="57">
        <v>0.92249999999999999</v>
      </c>
      <c r="H539" s="57" t="s">
        <v>196</v>
      </c>
      <c r="I539" s="33">
        <f t="shared" si="2"/>
        <v>0.94959349593495934</v>
      </c>
    </row>
    <row r="540" spans="1:9" x14ac:dyDescent="0.2">
      <c r="A540" s="70">
        <v>44690</v>
      </c>
      <c r="B540" s="57">
        <v>2031</v>
      </c>
      <c r="C540" s="57">
        <v>1</v>
      </c>
      <c r="D540" s="57" t="s">
        <v>192</v>
      </c>
      <c r="E540" s="57">
        <v>0</v>
      </c>
      <c r="F540" s="57">
        <v>1.0939000000000001</v>
      </c>
      <c r="G540" s="57">
        <v>0.56100000000000005</v>
      </c>
      <c r="I540" s="33">
        <f t="shared" si="2"/>
        <v>0.94991087344028513</v>
      </c>
    </row>
    <row r="541" spans="1:9" x14ac:dyDescent="0.2">
      <c r="A541" s="70">
        <v>44706</v>
      </c>
      <c r="B541" s="57">
        <v>2009</v>
      </c>
      <c r="C541" s="57">
        <v>2</v>
      </c>
      <c r="D541" s="57" t="s">
        <v>192</v>
      </c>
      <c r="E541" s="57">
        <v>0</v>
      </c>
      <c r="F541" s="57">
        <v>0.79769999999999996</v>
      </c>
      <c r="G541" s="57">
        <v>0.40899999999999997</v>
      </c>
      <c r="H541" s="57" t="s">
        <v>193</v>
      </c>
      <c r="I541" s="33">
        <f t="shared" si="2"/>
        <v>0.95036674816625921</v>
      </c>
    </row>
    <row r="542" spans="1:9" x14ac:dyDescent="0.2">
      <c r="A542" s="70">
        <v>44685</v>
      </c>
      <c r="B542" s="57">
        <v>2375</v>
      </c>
      <c r="C542" s="57">
        <v>2</v>
      </c>
      <c r="D542" s="57" t="s">
        <v>192</v>
      </c>
      <c r="E542" s="57">
        <v>0</v>
      </c>
      <c r="F542" s="57">
        <v>0.71640000000000004</v>
      </c>
      <c r="G542" s="57">
        <v>0.36699999999999999</v>
      </c>
      <c r="I542" s="33">
        <f t="shared" si="2"/>
        <v>0.95204359673024541</v>
      </c>
    </row>
    <row r="543" spans="1:9" x14ac:dyDescent="0.2">
      <c r="A543" s="70">
        <v>44706</v>
      </c>
      <c r="B543" s="57">
        <v>2023</v>
      </c>
      <c r="C543" s="57">
        <v>1</v>
      </c>
      <c r="D543" s="57" t="s">
        <v>175</v>
      </c>
      <c r="E543" s="57">
        <v>0</v>
      </c>
      <c r="F543" s="57">
        <v>0.1507</v>
      </c>
      <c r="G543" s="57">
        <v>7.7200000000000005E-2</v>
      </c>
      <c r="H543" s="57" t="s">
        <v>193</v>
      </c>
      <c r="I543" s="33">
        <f t="shared" si="2"/>
        <v>0.95207253886010357</v>
      </c>
    </row>
    <row r="544" spans="1:9" x14ac:dyDescent="0.2">
      <c r="A544" s="70">
        <v>44704</v>
      </c>
      <c r="B544" s="57">
        <v>2360</v>
      </c>
      <c r="C544" s="57">
        <v>3</v>
      </c>
      <c r="D544" s="57" t="s">
        <v>192</v>
      </c>
      <c r="E544" s="57">
        <v>0</v>
      </c>
      <c r="F544" s="57">
        <v>2.0829</v>
      </c>
      <c r="G544" s="57">
        <v>1.0669999999999999</v>
      </c>
      <c r="I544" s="33">
        <f t="shared" si="2"/>
        <v>0.95210871602624192</v>
      </c>
    </row>
    <row r="545" spans="1:9" x14ac:dyDescent="0.2">
      <c r="A545" s="70">
        <v>44685</v>
      </c>
      <c r="B545" s="57">
        <v>2379</v>
      </c>
      <c r="C545" s="57">
        <v>2</v>
      </c>
      <c r="D545" s="57" t="s">
        <v>192</v>
      </c>
      <c r="E545" s="57">
        <v>0</v>
      </c>
      <c r="F545" s="57">
        <v>1.4753000000000001</v>
      </c>
      <c r="G545" s="57">
        <v>0.75570000000000004</v>
      </c>
      <c r="I545" s="33">
        <f t="shared" si="2"/>
        <v>0.95222972078867274</v>
      </c>
    </row>
    <row r="546" spans="1:9" x14ac:dyDescent="0.2">
      <c r="A546" s="70">
        <v>44650</v>
      </c>
      <c r="B546" s="57">
        <v>2301</v>
      </c>
      <c r="C546" s="57">
        <v>3</v>
      </c>
      <c r="D546" s="57" t="s">
        <v>175</v>
      </c>
      <c r="E546" s="57" t="s">
        <v>60</v>
      </c>
      <c r="F546" s="57">
        <v>0.1074</v>
      </c>
      <c r="G546" s="57">
        <v>5.5E-2</v>
      </c>
      <c r="H546" s="57" t="s">
        <v>191</v>
      </c>
      <c r="I546" s="33">
        <f t="shared" si="2"/>
        <v>0.95272727272727264</v>
      </c>
    </row>
    <row r="547" spans="1:9" x14ac:dyDescent="0.2">
      <c r="A547" s="70">
        <v>44684</v>
      </c>
      <c r="B547" s="57">
        <v>2347</v>
      </c>
      <c r="C547" s="57">
        <v>2</v>
      </c>
      <c r="D547" s="57" t="s">
        <v>175</v>
      </c>
      <c r="E547" s="57">
        <v>1</v>
      </c>
      <c r="F547" s="57">
        <v>0.24</v>
      </c>
      <c r="G547" s="57">
        <v>0.1229</v>
      </c>
      <c r="H547" s="57" t="s">
        <v>196</v>
      </c>
      <c r="I547" s="33">
        <f t="shared" si="2"/>
        <v>0.95280716029292112</v>
      </c>
    </row>
    <row r="548" spans="1:9" x14ac:dyDescent="0.2">
      <c r="A548" s="70">
        <v>44685</v>
      </c>
      <c r="B548" s="57">
        <v>2371</v>
      </c>
      <c r="C548" s="57">
        <v>2</v>
      </c>
      <c r="D548" s="57" t="s">
        <v>175</v>
      </c>
      <c r="E548" s="57">
        <v>1</v>
      </c>
      <c r="F548" s="57">
        <v>0.184</v>
      </c>
      <c r="G548" s="57">
        <v>9.4200000000000006E-2</v>
      </c>
      <c r="I548" s="33">
        <f t="shared" si="2"/>
        <v>0.95329087048832251</v>
      </c>
    </row>
    <row r="549" spans="1:9" x14ac:dyDescent="0.2">
      <c r="A549" s="70">
        <v>44685</v>
      </c>
      <c r="B549" s="57">
        <v>2383</v>
      </c>
      <c r="C549" s="57">
        <v>3</v>
      </c>
      <c r="D549" s="57" t="s">
        <v>175</v>
      </c>
      <c r="E549" s="57">
        <v>0</v>
      </c>
      <c r="F549" s="57">
        <v>5.0799999999999998E-2</v>
      </c>
      <c r="G549" s="57">
        <v>2.5999999999999999E-2</v>
      </c>
      <c r="I549" s="33">
        <f t="shared" si="2"/>
        <v>0.9538461538461539</v>
      </c>
    </row>
    <row r="550" spans="1:9" x14ac:dyDescent="0.2">
      <c r="A550" s="70">
        <v>44690</v>
      </c>
      <c r="B550" s="57">
        <v>2013</v>
      </c>
      <c r="C550" s="57">
        <v>3</v>
      </c>
      <c r="D550" s="57" t="s">
        <v>192</v>
      </c>
      <c r="E550" s="57">
        <v>0</v>
      </c>
      <c r="F550" s="57">
        <v>0.50619999999999998</v>
      </c>
      <c r="G550" s="57">
        <v>0.25900000000000001</v>
      </c>
      <c r="I550" s="33">
        <f t="shared" si="2"/>
        <v>0.95444015444015429</v>
      </c>
    </row>
    <row r="551" spans="1:9" x14ac:dyDescent="0.2">
      <c r="A551" s="70">
        <v>44704</v>
      </c>
      <c r="B551" s="57">
        <v>2365</v>
      </c>
      <c r="C551" s="57">
        <v>1</v>
      </c>
      <c r="D551" s="57" t="s">
        <v>175</v>
      </c>
      <c r="E551" s="57">
        <v>0</v>
      </c>
      <c r="F551" s="57">
        <v>7.8200000000000006E-2</v>
      </c>
      <c r="G551" s="57">
        <v>0.04</v>
      </c>
      <c r="I551" s="33">
        <f t="shared" si="2"/>
        <v>0.95500000000000007</v>
      </c>
    </row>
    <row r="552" spans="1:9" x14ac:dyDescent="0.2">
      <c r="A552" s="70">
        <v>44706</v>
      </c>
      <c r="B552" s="57">
        <v>2331</v>
      </c>
      <c r="C552" s="57">
        <v>1</v>
      </c>
      <c r="D552" s="57" t="s">
        <v>175</v>
      </c>
      <c r="E552" s="57">
        <v>0</v>
      </c>
      <c r="F552" s="57">
        <v>0.1545</v>
      </c>
      <c r="G552" s="57">
        <v>7.9000000000000001E-2</v>
      </c>
      <c r="H552" s="57" t="s">
        <v>193</v>
      </c>
      <c r="I552" s="33">
        <f t="shared" si="2"/>
        <v>0.95569620253164556</v>
      </c>
    </row>
    <row r="553" spans="1:9" x14ac:dyDescent="0.2">
      <c r="A553" s="70">
        <v>44708</v>
      </c>
      <c r="B553" s="57">
        <v>2005</v>
      </c>
      <c r="C553" s="57">
        <v>2</v>
      </c>
      <c r="D553" s="57" t="s">
        <v>175</v>
      </c>
      <c r="E553" s="57">
        <v>0</v>
      </c>
      <c r="F553" s="57">
        <v>0.13500000000000001</v>
      </c>
      <c r="G553" s="57">
        <v>6.9000000000000006E-2</v>
      </c>
      <c r="H553" s="57" t="s">
        <v>193</v>
      </c>
      <c r="I553" s="33">
        <f t="shared" si="2"/>
        <v>0.9565217391304347</v>
      </c>
    </row>
    <row r="554" spans="1:9" x14ac:dyDescent="0.2">
      <c r="A554" s="70">
        <v>44685</v>
      </c>
      <c r="B554" s="57">
        <v>2354</v>
      </c>
      <c r="C554" s="57">
        <v>1</v>
      </c>
      <c r="D554" s="57" t="s">
        <v>192</v>
      </c>
      <c r="E554" s="57">
        <v>0</v>
      </c>
      <c r="F554" s="57">
        <v>0.28389999999999999</v>
      </c>
      <c r="G554" s="57">
        <v>0.14510000000000001</v>
      </c>
      <c r="I554" s="33">
        <f t="shared" si="2"/>
        <v>0.95658166781529963</v>
      </c>
    </row>
    <row r="555" spans="1:9" x14ac:dyDescent="0.2">
      <c r="A555" s="70">
        <v>44704</v>
      </c>
      <c r="B555" s="57">
        <v>2360</v>
      </c>
      <c r="C555" s="57">
        <v>1</v>
      </c>
      <c r="D555" s="57" t="s">
        <v>192</v>
      </c>
      <c r="E555" s="57">
        <v>0</v>
      </c>
      <c r="F555" s="57">
        <v>0.97260000000000002</v>
      </c>
      <c r="G555" s="57">
        <v>0.497</v>
      </c>
      <c r="I555" s="33">
        <f t="shared" si="2"/>
        <v>0.95694164989939645</v>
      </c>
    </row>
    <row r="556" spans="1:9" x14ac:dyDescent="0.2">
      <c r="A556" s="70">
        <v>44684</v>
      </c>
      <c r="B556" s="57">
        <v>2365</v>
      </c>
      <c r="C556" s="57">
        <v>1</v>
      </c>
      <c r="D556" s="57" t="s">
        <v>175</v>
      </c>
      <c r="E556" s="57">
        <v>1</v>
      </c>
      <c r="F556" s="57">
        <v>9.2999999999999999E-2</v>
      </c>
      <c r="G556" s="57">
        <v>4.7500000000000001E-2</v>
      </c>
      <c r="H556" s="57" t="s">
        <v>196</v>
      </c>
      <c r="I556" s="33">
        <f t="shared" si="2"/>
        <v>0.95789473684210524</v>
      </c>
    </row>
    <row r="557" spans="1:9" x14ac:dyDescent="0.2">
      <c r="A557" s="70">
        <v>44706</v>
      </c>
      <c r="B557" s="57">
        <v>2010</v>
      </c>
      <c r="C557" s="57">
        <v>1</v>
      </c>
      <c r="D557" s="57" t="s">
        <v>175</v>
      </c>
      <c r="E557" s="57">
        <v>1</v>
      </c>
      <c r="F557" s="57">
        <v>0.31719999999999998</v>
      </c>
      <c r="G557" s="57">
        <v>0.16200000000000001</v>
      </c>
      <c r="H557" s="57" t="s">
        <v>193</v>
      </c>
      <c r="I557" s="33">
        <f t="shared" si="2"/>
        <v>0.95802469135802448</v>
      </c>
    </row>
    <row r="558" spans="1:9" x14ac:dyDescent="0.2">
      <c r="A558" s="70">
        <v>44690</v>
      </c>
      <c r="B558" s="57">
        <v>2023</v>
      </c>
      <c r="C558" s="57">
        <v>1</v>
      </c>
      <c r="D558" s="57" t="s">
        <v>192</v>
      </c>
      <c r="E558" s="57">
        <v>0</v>
      </c>
      <c r="F558" s="57">
        <v>0.66459999999999997</v>
      </c>
      <c r="G558" s="57">
        <v>0.33939999999999998</v>
      </c>
      <c r="I558" s="33">
        <f t="shared" si="2"/>
        <v>0.95816146140247493</v>
      </c>
    </row>
    <row r="559" spans="1:9" x14ac:dyDescent="0.2">
      <c r="A559" s="70">
        <v>44684</v>
      </c>
      <c r="B559" s="57">
        <v>2346</v>
      </c>
      <c r="C559" s="57">
        <v>1</v>
      </c>
      <c r="D559" s="57" t="s">
        <v>192</v>
      </c>
      <c r="E559" s="57">
        <v>0</v>
      </c>
      <c r="F559" s="57">
        <v>1.8388</v>
      </c>
      <c r="G559" s="57">
        <v>0.93889999999999996</v>
      </c>
      <c r="H559" s="57" t="s">
        <v>196</v>
      </c>
      <c r="I559" s="33">
        <f t="shared" si="2"/>
        <v>0.95846203003514763</v>
      </c>
    </row>
    <row r="560" spans="1:9" x14ac:dyDescent="0.2">
      <c r="A560" s="70">
        <v>44685</v>
      </c>
      <c r="B560" s="57">
        <v>2343</v>
      </c>
      <c r="C560" s="57">
        <v>3</v>
      </c>
      <c r="D560" s="57" t="s">
        <v>192</v>
      </c>
      <c r="E560" s="57">
        <v>0</v>
      </c>
      <c r="F560" s="57">
        <v>1.3415999999999999</v>
      </c>
      <c r="G560" s="57">
        <v>0.68489999999999995</v>
      </c>
      <c r="I560" s="33">
        <f t="shared" si="2"/>
        <v>0.95882610600087603</v>
      </c>
    </row>
    <row r="561" spans="1:9" x14ac:dyDescent="0.2">
      <c r="A561" s="70">
        <v>44685</v>
      </c>
      <c r="B561" s="57">
        <v>2343</v>
      </c>
      <c r="C561" s="57">
        <v>3</v>
      </c>
      <c r="D561" s="57" t="s">
        <v>175</v>
      </c>
      <c r="E561" s="57">
        <v>1</v>
      </c>
      <c r="F561" s="57">
        <v>0.373</v>
      </c>
      <c r="G561" s="57">
        <v>0.19040000000000001</v>
      </c>
      <c r="I561" s="33">
        <f t="shared" si="2"/>
        <v>0.95903361344537796</v>
      </c>
    </row>
    <row r="562" spans="1:9" x14ac:dyDescent="0.2">
      <c r="A562" s="70">
        <v>44663</v>
      </c>
      <c r="B562" s="57">
        <v>2352</v>
      </c>
      <c r="C562" s="57">
        <v>2</v>
      </c>
      <c r="D562" s="57" t="s">
        <v>175</v>
      </c>
      <c r="E562" s="57">
        <v>1</v>
      </c>
      <c r="F562" s="57">
        <v>0.19400000000000001</v>
      </c>
      <c r="G562" s="57">
        <v>9.9000000000000005E-2</v>
      </c>
      <c r="H562" s="57" t="s">
        <v>195</v>
      </c>
      <c r="I562" s="33">
        <f t="shared" si="2"/>
        <v>0.95959595959595956</v>
      </c>
    </row>
    <row r="563" spans="1:9" x14ac:dyDescent="0.2">
      <c r="A563" s="70">
        <v>44685</v>
      </c>
      <c r="B563" s="57">
        <v>2346</v>
      </c>
      <c r="C563" s="57">
        <v>3</v>
      </c>
      <c r="D563" s="57" t="s">
        <v>192</v>
      </c>
      <c r="E563" s="57">
        <v>0</v>
      </c>
      <c r="F563" s="57">
        <v>0.54369999999999996</v>
      </c>
      <c r="G563" s="57">
        <v>0.27739999999999998</v>
      </c>
      <c r="I563" s="33">
        <f t="shared" si="2"/>
        <v>0.95998558038932946</v>
      </c>
    </row>
    <row r="564" spans="1:9" x14ac:dyDescent="0.2">
      <c r="A564" s="70">
        <v>44665</v>
      </c>
      <c r="B564" s="57">
        <v>2301</v>
      </c>
      <c r="C564" s="57">
        <v>1</v>
      </c>
      <c r="D564" s="57" t="s">
        <v>192</v>
      </c>
      <c r="E564" s="57">
        <v>0</v>
      </c>
      <c r="F564" s="57">
        <v>0.20660000000000001</v>
      </c>
      <c r="G564" s="57">
        <v>0.10539999999999999</v>
      </c>
      <c r="H564" s="57" t="s">
        <v>191</v>
      </c>
      <c r="I564" s="33">
        <f t="shared" si="2"/>
        <v>0.96015180265654665</v>
      </c>
    </row>
    <row r="565" spans="1:9" x14ac:dyDescent="0.2">
      <c r="A565" s="70">
        <v>44662</v>
      </c>
      <c r="B565" s="57">
        <v>2089</v>
      </c>
      <c r="C565" s="57">
        <v>2</v>
      </c>
      <c r="D565" s="57" t="s">
        <v>192</v>
      </c>
      <c r="E565" s="57">
        <v>1</v>
      </c>
      <c r="F565" s="57">
        <v>1.1891</v>
      </c>
      <c r="G565" s="57">
        <v>0.60650000000000004</v>
      </c>
      <c r="H565" s="57" t="s">
        <v>191</v>
      </c>
      <c r="I565" s="33">
        <f t="shared" si="2"/>
        <v>0.96059356966199505</v>
      </c>
    </row>
    <row r="566" spans="1:9" x14ac:dyDescent="0.2">
      <c r="A566" s="70">
        <v>44690</v>
      </c>
      <c r="B566" s="57">
        <v>2026</v>
      </c>
      <c r="C566" s="57">
        <v>2</v>
      </c>
      <c r="D566" s="57" t="s">
        <v>192</v>
      </c>
      <c r="E566" s="57">
        <v>0</v>
      </c>
      <c r="F566" s="57">
        <v>1.7257</v>
      </c>
      <c r="G566" s="57">
        <v>0.88</v>
      </c>
      <c r="I566" s="33">
        <f t="shared" si="2"/>
        <v>0.96102272727272731</v>
      </c>
    </row>
    <row r="567" spans="1:9" x14ac:dyDescent="0.2">
      <c r="A567" s="70">
        <v>44690</v>
      </c>
      <c r="B567" s="57">
        <v>2026</v>
      </c>
      <c r="C567" s="57">
        <v>3</v>
      </c>
      <c r="D567" s="57" t="s">
        <v>192</v>
      </c>
      <c r="E567" s="57">
        <v>0</v>
      </c>
      <c r="F567" s="57">
        <v>0.95979999999999999</v>
      </c>
      <c r="G567" s="57">
        <v>0.48930000000000001</v>
      </c>
      <c r="I567" s="33">
        <f t="shared" si="2"/>
        <v>0.96157776415287133</v>
      </c>
    </row>
    <row r="568" spans="1:9" x14ac:dyDescent="0.2">
      <c r="A568" s="70">
        <v>44708</v>
      </c>
      <c r="B568" s="57">
        <v>2008</v>
      </c>
      <c r="C568" s="57">
        <v>3</v>
      </c>
      <c r="D568" s="57" t="s">
        <v>175</v>
      </c>
      <c r="E568" s="57">
        <v>0</v>
      </c>
      <c r="F568" s="57">
        <v>4.1200000000000001E-2</v>
      </c>
      <c r="G568" s="57">
        <v>2.1000000000000001E-2</v>
      </c>
      <c r="H568" s="57" t="s">
        <v>193</v>
      </c>
      <c r="I568" s="33">
        <f t="shared" si="2"/>
        <v>0.96190476190476182</v>
      </c>
    </row>
    <row r="569" spans="1:9" x14ac:dyDescent="0.2">
      <c r="A569" s="70">
        <v>44665</v>
      </c>
      <c r="B569" s="57">
        <v>2383</v>
      </c>
      <c r="C569" s="57">
        <v>1</v>
      </c>
      <c r="D569" s="57" t="s">
        <v>175</v>
      </c>
      <c r="E569" s="57">
        <v>1</v>
      </c>
      <c r="F569" s="57">
        <v>0.29099999999999998</v>
      </c>
      <c r="G569" s="57">
        <v>0.14829999999999999</v>
      </c>
      <c r="H569" s="57" t="s">
        <v>191</v>
      </c>
      <c r="I569" s="33">
        <f t="shared" si="2"/>
        <v>0.96223870532703981</v>
      </c>
    </row>
    <row r="570" spans="1:9" x14ac:dyDescent="0.2">
      <c r="A570" s="70">
        <v>44684</v>
      </c>
      <c r="B570" s="57">
        <v>2382</v>
      </c>
      <c r="C570" s="57">
        <v>1</v>
      </c>
      <c r="D570" s="57" t="s">
        <v>175</v>
      </c>
      <c r="E570" s="57">
        <v>0</v>
      </c>
      <c r="F570" s="57">
        <v>0.27610000000000001</v>
      </c>
      <c r="G570" s="57">
        <v>0.14069999999999999</v>
      </c>
      <c r="H570" s="57" t="s">
        <v>196</v>
      </c>
      <c r="I570" s="33">
        <f t="shared" si="2"/>
        <v>0.96233120113717152</v>
      </c>
    </row>
    <row r="571" spans="1:9" x14ac:dyDescent="0.2">
      <c r="A571" s="70">
        <v>44684</v>
      </c>
      <c r="B571" s="57">
        <v>2347</v>
      </c>
      <c r="C571" s="57">
        <v>3</v>
      </c>
      <c r="D571" s="57" t="s">
        <v>175</v>
      </c>
      <c r="E571" s="57">
        <v>1</v>
      </c>
      <c r="F571" s="57">
        <v>0.28139999999999998</v>
      </c>
      <c r="G571" s="57">
        <v>0.1434</v>
      </c>
      <c r="H571" s="57" t="s">
        <v>196</v>
      </c>
      <c r="I571" s="33">
        <f t="shared" si="2"/>
        <v>0.96234309623430947</v>
      </c>
    </row>
    <row r="572" spans="1:9" x14ac:dyDescent="0.2">
      <c r="A572" s="70">
        <v>44685</v>
      </c>
      <c r="B572" s="57">
        <v>2370</v>
      </c>
      <c r="C572" s="57">
        <v>1</v>
      </c>
      <c r="D572" s="57" t="s">
        <v>175</v>
      </c>
      <c r="E572" s="57">
        <v>1</v>
      </c>
      <c r="F572" s="57">
        <v>0.31950000000000001</v>
      </c>
      <c r="G572" s="57">
        <v>0.1628</v>
      </c>
      <c r="I572" s="33">
        <f t="shared" si="2"/>
        <v>0.96253071253071254</v>
      </c>
    </row>
    <row r="573" spans="1:9" x14ac:dyDescent="0.2">
      <c r="A573" s="70">
        <v>44665</v>
      </c>
      <c r="B573" s="57">
        <v>2379</v>
      </c>
      <c r="C573" s="57">
        <v>1</v>
      </c>
      <c r="D573" s="57" t="s">
        <v>175</v>
      </c>
      <c r="E573" s="57">
        <v>1</v>
      </c>
      <c r="F573" s="57">
        <v>0.50380000000000003</v>
      </c>
      <c r="G573" s="57">
        <v>0.25659999999999999</v>
      </c>
      <c r="H573" s="57" t="s">
        <v>191</v>
      </c>
      <c r="I573" s="33">
        <f t="shared" si="2"/>
        <v>0.96336710833982864</v>
      </c>
    </row>
    <row r="574" spans="1:9" x14ac:dyDescent="0.2">
      <c r="A574" s="70">
        <v>44706</v>
      </c>
      <c r="B574" s="57">
        <v>2025</v>
      </c>
      <c r="C574" s="57">
        <v>2</v>
      </c>
      <c r="D574" s="57" t="s">
        <v>192</v>
      </c>
      <c r="E574" s="57">
        <v>0</v>
      </c>
      <c r="F574" s="57">
        <v>1.5927</v>
      </c>
      <c r="G574" s="57">
        <v>0.81100000000000005</v>
      </c>
      <c r="H574" s="57" t="s">
        <v>193</v>
      </c>
      <c r="I574" s="33">
        <f t="shared" si="2"/>
        <v>0.96387176325524027</v>
      </c>
    </row>
    <row r="575" spans="1:9" x14ac:dyDescent="0.2">
      <c r="A575" s="70">
        <v>44690</v>
      </c>
      <c r="B575" s="57">
        <v>2028</v>
      </c>
      <c r="C575" s="57">
        <v>3</v>
      </c>
      <c r="D575" s="57" t="s">
        <v>175</v>
      </c>
      <c r="E575" s="57">
        <v>0</v>
      </c>
      <c r="F575" s="57">
        <v>0.12570000000000001</v>
      </c>
      <c r="G575" s="57">
        <v>6.4000000000000001E-2</v>
      </c>
      <c r="I575" s="33">
        <f t="shared" si="2"/>
        <v>0.96406250000000004</v>
      </c>
    </row>
    <row r="576" spans="1:9" x14ac:dyDescent="0.2">
      <c r="A576" s="70">
        <v>44685</v>
      </c>
      <c r="B576" s="57">
        <v>2375</v>
      </c>
      <c r="C576" s="57">
        <v>2</v>
      </c>
      <c r="D576" s="57" t="s">
        <v>175</v>
      </c>
      <c r="E576" s="57">
        <v>1</v>
      </c>
      <c r="F576" s="57">
        <v>0.14849999999999999</v>
      </c>
      <c r="G576" s="57">
        <v>7.5600000000000001E-2</v>
      </c>
      <c r="I576" s="33">
        <f t="shared" si="2"/>
        <v>0.96428571428571419</v>
      </c>
    </row>
    <row r="577" spans="1:9" x14ac:dyDescent="0.2">
      <c r="A577" s="70">
        <v>44708</v>
      </c>
      <c r="B577" s="57">
        <v>2012</v>
      </c>
      <c r="C577" s="57">
        <v>2</v>
      </c>
      <c r="D577" s="57" t="s">
        <v>175</v>
      </c>
      <c r="E577" s="57">
        <v>0</v>
      </c>
      <c r="F577" s="57">
        <v>5.5E-2</v>
      </c>
      <c r="G577" s="57">
        <v>2.8000000000000001E-2</v>
      </c>
      <c r="H577" s="57" t="s">
        <v>193</v>
      </c>
      <c r="I577" s="33">
        <f t="shared" si="2"/>
        <v>0.9642857142857143</v>
      </c>
    </row>
    <row r="578" spans="1:9" x14ac:dyDescent="0.2">
      <c r="A578" s="70">
        <v>44706</v>
      </c>
      <c r="B578" s="57">
        <v>2346</v>
      </c>
      <c r="C578" s="57">
        <v>1</v>
      </c>
      <c r="D578" s="57" t="s">
        <v>192</v>
      </c>
      <c r="E578" s="57">
        <v>0</v>
      </c>
      <c r="F578" s="57">
        <v>0.74450000000000005</v>
      </c>
      <c r="G578" s="57">
        <v>0.379</v>
      </c>
      <c r="H578" s="57" t="s">
        <v>193</v>
      </c>
      <c r="I578" s="33">
        <f t="shared" si="2"/>
        <v>0.96437994722955156</v>
      </c>
    </row>
    <row r="579" spans="1:9" x14ac:dyDescent="0.2">
      <c r="A579" s="70">
        <v>44665</v>
      </c>
      <c r="B579" s="57">
        <v>2004</v>
      </c>
      <c r="C579" s="57">
        <v>1</v>
      </c>
      <c r="D579" s="57" t="s">
        <v>192</v>
      </c>
      <c r="E579" s="57">
        <v>0</v>
      </c>
      <c r="F579" s="57">
        <v>1.1884999999999999</v>
      </c>
      <c r="G579" s="57">
        <v>0.60499999999999998</v>
      </c>
      <c r="H579" s="57" t="s">
        <v>191</v>
      </c>
      <c r="I579" s="33">
        <f t="shared" si="2"/>
        <v>0.96446280991735522</v>
      </c>
    </row>
    <row r="580" spans="1:9" x14ac:dyDescent="0.2">
      <c r="A580" s="70">
        <v>44684</v>
      </c>
      <c r="B580" s="57">
        <v>2009</v>
      </c>
      <c r="C580" s="57">
        <v>3</v>
      </c>
      <c r="D580" s="57" t="s">
        <v>175</v>
      </c>
      <c r="E580" s="57">
        <v>0</v>
      </c>
      <c r="F580" s="57">
        <v>0.22209999999999999</v>
      </c>
      <c r="G580" s="57">
        <v>0.113</v>
      </c>
      <c r="H580" s="57" t="s">
        <v>196</v>
      </c>
      <c r="I580" s="33">
        <f t="shared" si="2"/>
        <v>0.96548672566371674</v>
      </c>
    </row>
    <row r="581" spans="1:9" x14ac:dyDescent="0.2">
      <c r="A581" s="70">
        <v>44650</v>
      </c>
      <c r="B581" s="57">
        <v>2367</v>
      </c>
      <c r="C581" s="57">
        <v>3</v>
      </c>
      <c r="D581" s="57" t="s">
        <v>175</v>
      </c>
      <c r="E581" s="57">
        <v>1</v>
      </c>
      <c r="F581" s="57">
        <v>0.38329999999999997</v>
      </c>
      <c r="G581" s="57">
        <v>0.19500000000000001</v>
      </c>
      <c r="H581" s="57" t="s">
        <v>191</v>
      </c>
      <c r="I581" s="33">
        <f t="shared" si="2"/>
        <v>0.96564102564102539</v>
      </c>
    </row>
    <row r="582" spans="1:9" x14ac:dyDescent="0.2">
      <c r="A582" s="70">
        <v>44665</v>
      </c>
      <c r="B582" s="57">
        <v>2028</v>
      </c>
      <c r="C582" s="57">
        <v>1</v>
      </c>
      <c r="D582" s="57" t="s">
        <v>192</v>
      </c>
      <c r="E582" s="57">
        <v>0</v>
      </c>
      <c r="F582" s="57">
        <v>0.72750000000000004</v>
      </c>
      <c r="G582" s="57">
        <v>0.36990000000000001</v>
      </c>
      <c r="H582" s="57" t="s">
        <v>191</v>
      </c>
      <c r="I582" s="33">
        <f t="shared" si="2"/>
        <v>0.96674776966747777</v>
      </c>
    </row>
    <row r="583" spans="1:9" x14ac:dyDescent="0.2">
      <c r="A583" s="70">
        <v>44684</v>
      </c>
      <c r="B583" s="57">
        <v>2081</v>
      </c>
      <c r="C583" s="57">
        <v>1</v>
      </c>
      <c r="D583" s="57" t="s">
        <v>175</v>
      </c>
      <c r="E583" s="57">
        <v>1</v>
      </c>
      <c r="F583" s="57">
        <v>0.98499999999999999</v>
      </c>
      <c r="G583" s="57">
        <v>0.50080000000000002</v>
      </c>
      <c r="H583" s="57" t="s">
        <v>196</v>
      </c>
      <c r="I583" s="33">
        <f t="shared" si="2"/>
        <v>0.96685303514376986</v>
      </c>
    </row>
    <row r="584" spans="1:9" x14ac:dyDescent="0.2">
      <c r="A584" s="70">
        <v>44684</v>
      </c>
      <c r="B584" s="57">
        <v>2384</v>
      </c>
      <c r="C584" s="57">
        <v>2</v>
      </c>
      <c r="D584" s="57" t="s">
        <v>175</v>
      </c>
      <c r="E584" s="57">
        <v>0</v>
      </c>
      <c r="F584" s="57">
        <v>6.6299999999999998E-2</v>
      </c>
      <c r="G584" s="57">
        <v>3.3700000000000001E-2</v>
      </c>
      <c r="H584" s="57" t="s">
        <v>196</v>
      </c>
      <c r="I584" s="33">
        <f t="shared" si="2"/>
        <v>0.96735905044510373</v>
      </c>
    </row>
    <row r="585" spans="1:9" x14ac:dyDescent="0.2">
      <c r="A585" s="70">
        <v>44706</v>
      </c>
      <c r="B585" s="57">
        <v>2010</v>
      </c>
      <c r="C585" s="57">
        <v>2</v>
      </c>
      <c r="D585" s="57" t="s">
        <v>175</v>
      </c>
      <c r="E585" s="57">
        <v>1</v>
      </c>
      <c r="F585" s="57">
        <v>0.71250000000000002</v>
      </c>
      <c r="G585" s="57">
        <v>0.36199999999999999</v>
      </c>
      <c r="H585" s="57" t="s">
        <v>193</v>
      </c>
      <c r="I585" s="33">
        <f t="shared" si="2"/>
        <v>0.96823204419889519</v>
      </c>
    </row>
    <row r="586" spans="1:9" x14ac:dyDescent="0.2">
      <c r="A586" s="70">
        <v>44690</v>
      </c>
      <c r="B586" s="57">
        <v>2024</v>
      </c>
      <c r="C586" s="57">
        <v>2</v>
      </c>
      <c r="D586" s="57" t="s">
        <v>175</v>
      </c>
      <c r="E586" s="57">
        <v>1</v>
      </c>
      <c r="F586" s="57">
        <v>0.28050000000000003</v>
      </c>
      <c r="G586" s="57">
        <v>0.14249999999999999</v>
      </c>
      <c r="I586" s="33">
        <f t="shared" si="2"/>
        <v>0.96842105263157929</v>
      </c>
    </row>
    <row r="587" spans="1:9" x14ac:dyDescent="0.2">
      <c r="A587" s="70">
        <v>44706</v>
      </c>
      <c r="B587" s="57">
        <v>2381</v>
      </c>
      <c r="C587" s="57">
        <v>1</v>
      </c>
      <c r="D587" s="57" t="s">
        <v>175</v>
      </c>
      <c r="E587" s="57">
        <v>1</v>
      </c>
      <c r="F587" s="57">
        <v>0.56310000000000004</v>
      </c>
      <c r="G587" s="57">
        <v>0.28599999999999998</v>
      </c>
      <c r="H587" s="57" t="s">
        <v>193</v>
      </c>
      <c r="I587" s="33">
        <f t="shared" si="2"/>
        <v>0.96888111888111916</v>
      </c>
    </row>
    <row r="588" spans="1:9" x14ac:dyDescent="0.2">
      <c r="A588" s="70">
        <v>44706</v>
      </c>
      <c r="B588" s="57">
        <v>2010</v>
      </c>
      <c r="C588" s="57">
        <v>2</v>
      </c>
      <c r="D588" s="57" t="s">
        <v>192</v>
      </c>
      <c r="E588" s="57">
        <v>0</v>
      </c>
      <c r="F588" s="57">
        <v>2.0912000000000002</v>
      </c>
      <c r="G588" s="57">
        <v>1.0621</v>
      </c>
      <c r="H588" s="57" t="s">
        <v>193</v>
      </c>
      <c r="I588" s="33">
        <f t="shared" si="2"/>
        <v>0.96892947933339613</v>
      </c>
    </row>
    <row r="589" spans="1:9" x14ac:dyDescent="0.2">
      <c r="A589" s="70">
        <v>44684</v>
      </c>
      <c r="B589" s="57">
        <v>2364</v>
      </c>
      <c r="C589" s="57">
        <v>3</v>
      </c>
      <c r="D589" s="57" t="s">
        <v>192</v>
      </c>
      <c r="E589" s="57">
        <v>0</v>
      </c>
      <c r="F589" s="57">
        <v>0.47689999999999999</v>
      </c>
      <c r="G589" s="57">
        <v>0.2422</v>
      </c>
      <c r="H589" s="57" t="s">
        <v>196</v>
      </c>
      <c r="I589" s="33">
        <f t="shared" si="2"/>
        <v>0.96903385631709327</v>
      </c>
    </row>
    <row r="590" spans="1:9" x14ac:dyDescent="0.2">
      <c r="A590" s="70">
        <v>44690</v>
      </c>
      <c r="B590" s="57">
        <v>2022</v>
      </c>
      <c r="C590" s="57">
        <v>2</v>
      </c>
      <c r="D590" s="57" t="s">
        <v>192</v>
      </c>
      <c r="E590" s="57">
        <v>0</v>
      </c>
      <c r="F590" s="57">
        <v>2.2134999999999998</v>
      </c>
      <c r="G590" s="57">
        <v>1.1240000000000001</v>
      </c>
      <c r="I590" s="33">
        <f t="shared" si="2"/>
        <v>0.9693060498220637</v>
      </c>
    </row>
    <row r="591" spans="1:9" x14ac:dyDescent="0.2">
      <c r="A591" s="70">
        <v>44704</v>
      </c>
      <c r="B591" s="57">
        <v>2365</v>
      </c>
      <c r="C591" s="57">
        <v>3</v>
      </c>
      <c r="D591" s="57" t="s">
        <v>192</v>
      </c>
      <c r="E591" s="57">
        <v>0</v>
      </c>
      <c r="F591" s="57">
        <v>0.71489999999999998</v>
      </c>
      <c r="G591" s="57">
        <v>0.36299999999999999</v>
      </c>
      <c r="I591" s="33">
        <f t="shared" si="2"/>
        <v>0.96942148760330582</v>
      </c>
    </row>
    <row r="592" spans="1:9" x14ac:dyDescent="0.2">
      <c r="A592" s="70">
        <v>44665</v>
      </c>
      <c r="B592" s="57">
        <v>2007</v>
      </c>
      <c r="C592" s="57">
        <v>2</v>
      </c>
      <c r="D592" s="57" t="s">
        <v>192</v>
      </c>
      <c r="E592" s="57">
        <v>0</v>
      </c>
      <c r="F592" s="57">
        <v>1.9764999999999999</v>
      </c>
      <c r="G592" s="57">
        <v>1.0035000000000001</v>
      </c>
      <c r="H592" s="57" t="s">
        <v>191</v>
      </c>
      <c r="I592" s="33">
        <f t="shared" si="2"/>
        <v>0.96960637767812641</v>
      </c>
    </row>
    <row r="593" spans="1:9" x14ac:dyDescent="0.2">
      <c r="A593" s="70">
        <v>44650</v>
      </c>
      <c r="B593" s="57">
        <v>2301</v>
      </c>
      <c r="C593" s="57">
        <v>1</v>
      </c>
      <c r="D593" s="57" t="s">
        <v>175</v>
      </c>
      <c r="E593" s="57" t="s">
        <v>60</v>
      </c>
      <c r="F593" s="57">
        <v>9.8500000000000004E-2</v>
      </c>
      <c r="G593" s="57">
        <v>0.05</v>
      </c>
      <c r="H593" s="57" t="s">
        <v>191</v>
      </c>
      <c r="I593" s="33">
        <f t="shared" si="2"/>
        <v>0.97</v>
      </c>
    </row>
    <row r="594" spans="1:9" x14ac:dyDescent="0.2">
      <c r="A594" s="70">
        <v>44685</v>
      </c>
      <c r="B594" s="57">
        <v>2360</v>
      </c>
      <c r="C594" s="57">
        <v>1</v>
      </c>
      <c r="D594" s="57" t="s">
        <v>192</v>
      </c>
      <c r="E594" s="57">
        <v>0</v>
      </c>
      <c r="F594" s="57">
        <v>0.72619999999999996</v>
      </c>
      <c r="G594" s="57">
        <v>0.36859999999999998</v>
      </c>
      <c r="I594" s="33">
        <f t="shared" si="2"/>
        <v>0.97015735214324472</v>
      </c>
    </row>
    <row r="595" spans="1:9" x14ac:dyDescent="0.2">
      <c r="A595" s="70">
        <v>44704</v>
      </c>
      <c r="B595" s="57">
        <v>2021</v>
      </c>
      <c r="C595" s="57">
        <v>3</v>
      </c>
      <c r="D595" s="57" t="s">
        <v>192</v>
      </c>
      <c r="E595" s="57">
        <v>0</v>
      </c>
      <c r="F595" s="57">
        <v>0.58720000000000006</v>
      </c>
      <c r="G595" s="57">
        <v>0.29799999999999999</v>
      </c>
      <c r="I595" s="33">
        <f t="shared" si="2"/>
        <v>0.97046979865771843</v>
      </c>
    </row>
    <row r="596" spans="1:9" x14ac:dyDescent="0.2">
      <c r="A596" s="70">
        <v>44706</v>
      </c>
      <c r="B596" s="57">
        <v>2301</v>
      </c>
      <c r="C596" s="57">
        <v>3</v>
      </c>
      <c r="D596" s="57" t="s">
        <v>175</v>
      </c>
      <c r="E596" s="57">
        <v>1</v>
      </c>
      <c r="F596" s="57">
        <v>0.3271</v>
      </c>
      <c r="G596" s="57">
        <v>0.16600000000000001</v>
      </c>
      <c r="H596" s="57" t="s">
        <v>193</v>
      </c>
      <c r="I596" s="33">
        <f t="shared" si="2"/>
        <v>0.9704819277108433</v>
      </c>
    </row>
    <row r="597" spans="1:9" x14ac:dyDescent="0.2">
      <c r="A597" s="70">
        <v>44706</v>
      </c>
      <c r="B597" s="57">
        <v>2301</v>
      </c>
      <c r="C597" s="57">
        <v>3</v>
      </c>
      <c r="D597" s="57" t="s">
        <v>175</v>
      </c>
      <c r="E597" s="57">
        <v>1</v>
      </c>
      <c r="F597" s="57">
        <v>0.3271</v>
      </c>
      <c r="G597" s="57">
        <v>0.16600000000000001</v>
      </c>
      <c r="H597" s="57" t="s">
        <v>193</v>
      </c>
      <c r="I597" s="33">
        <f t="shared" si="2"/>
        <v>0.9704819277108433</v>
      </c>
    </row>
    <row r="598" spans="1:9" x14ac:dyDescent="0.2">
      <c r="A598" s="70">
        <v>44704</v>
      </c>
      <c r="B598" s="57">
        <v>2365</v>
      </c>
      <c r="C598" s="57">
        <v>1</v>
      </c>
      <c r="D598" s="57" t="s">
        <v>192</v>
      </c>
      <c r="E598" s="57">
        <v>0</v>
      </c>
      <c r="F598" s="57">
        <v>0.8296</v>
      </c>
      <c r="G598" s="57">
        <v>0.42099999999999999</v>
      </c>
      <c r="I598" s="33">
        <f t="shared" si="2"/>
        <v>0.97054631828978633</v>
      </c>
    </row>
    <row r="599" spans="1:9" x14ac:dyDescent="0.2">
      <c r="A599" s="70">
        <v>44704</v>
      </c>
      <c r="B599" s="57">
        <v>2343</v>
      </c>
      <c r="C599" s="57">
        <v>2</v>
      </c>
      <c r="D599" s="57" t="s">
        <v>175</v>
      </c>
      <c r="E599" s="57">
        <v>1</v>
      </c>
      <c r="F599" s="57">
        <v>7.4899999999999994E-2</v>
      </c>
      <c r="G599" s="57">
        <v>3.7999999999999999E-2</v>
      </c>
      <c r="I599" s="33">
        <f t="shared" si="2"/>
        <v>0.97105263157894728</v>
      </c>
    </row>
    <row r="600" spans="1:9" x14ac:dyDescent="0.2">
      <c r="A600" s="70">
        <v>44665</v>
      </c>
      <c r="B600" s="57">
        <v>2383</v>
      </c>
      <c r="C600" s="57">
        <v>2</v>
      </c>
      <c r="D600" s="57" t="s">
        <v>192</v>
      </c>
      <c r="E600" s="57">
        <v>0</v>
      </c>
      <c r="F600" s="57">
        <v>0.66569999999999996</v>
      </c>
      <c r="G600" s="57">
        <v>0.3377</v>
      </c>
      <c r="H600" s="57" t="s">
        <v>191</v>
      </c>
      <c r="I600" s="33">
        <f t="shared" si="2"/>
        <v>0.97127628072253469</v>
      </c>
    </row>
    <row r="601" spans="1:9" x14ac:dyDescent="0.2">
      <c r="A601" s="70">
        <v>44685</v>
      </c>
      <c r="B601" s="57">
        <v>2371</v>
      </c>
      <c r="C601" s="57">
        <v>2</v>
      </c>
      <c r="D601" s="57" t="s">
        <v>192</v>
      </c>
      <c r="E601" s="57">
        <v>0</v>
      </c>
      <c r="F601" s="57">
        <v>1.2416</v>
      </c>
      <c r="G601" s="57">
        <v>0.62980000000000003</v>
      </c>
      <c r="I601" s="33">
        <f t="shared" si="2"/>
        <v>0.97141949825341378</v>
      </c>
    </row>
    <row r="602" spans="1:9" x14ac:dyDescent="0.2">
      <c r="A602" s="70">
        <v>44706</v>
      </c>
      <c r="B602" s="57">
        <v>2346</v>
      </c>
      <c r="C602" s="57">
        <v>1</v>
      </c>
      <c r="D602" s="57" t="s">
        <v>175</v>
      </c>
      <c r="E602" s="57">
        <v>1</v>
      </c>
      <c r="F602" s="57">
        <v>0.45739999999999997</v>
      </c>
      <c r="G602" s="57">
        <v>0.23200000000000001</v>
      </c>
      <c r="H602" s="57" t="s">
        <v>193</v>
      </c>
      <c r="I602" s="33">
        <f t="shared" si="2"/>
        <v>0.97155172413793078</v>
      </c>
    </row>
    <row r="603" spans="1:9" x14ac:dyDescent="0.2">
      <c r="A603" s="70">
        <v>44690</v>
      </c>
      <c r="B603" s="57">
        <v>2031</v>
      </c>
      <c r="C603" s="57">
        <v>2</v>
      </c>
      <c r="D603" s="57" t="s">
        <v>192</v>
      </c>
      <c r="E603" s="57">
        <v>0</v>
      </c>
      <c r="F603" s="57">
        <v>2.2479</v>
      </c>
      <c r="G603" s="57">
        <v>1.1399999999999999</v>
      </c>
      <c r="I603" s="33">
        <f t="shared" si="2"/>
        <v>0.97184210526315806</v>
      </c>
    </row>
    <row r="604" spans="1:9" x14ac:dyDescent="0.2">
      <c r="A604" s="70">
        <v>44685</v>
      </c>
      <c r="B604" s="57">
        <v>2371</v>
      </c>
      <c r="C604" s="57">
        <v>2</v>
      </c>
      <c r="D604" s="57" t="s">
        <v>175</v>
      </c>
      <c r="E604" s="57">
        <v>1</v>
      </c>
      <c r="F604" s="57">
        <v>0.25359999999999999</v>
      </c>
      <c r="G604" s="57">
        <v>0.12859999999999999</v>
      </c>
      <c r="I604" s="33">
        <f t="shared" si="2"/>
        <v>0.97200622083981347</v>
      </c>
    </row>
    <row r="605" spans="1:9" x14ac:dyDescent="0.2">
      <c r="A605" s="70">
        <v>44704</v>
      </c>
      <c r="B605" s="57">
        <v>2027</v>
      </c>
      <c r="C605" s="57">
        <v>1</v>
      </c>
      <c r="D605" s="57" t="s">
        <v>175</v>
      </c>
      <c r="E605" s="57">
        <v>0</v>
      </c>
      <c r="F605" s="57">
        <v>0.1203</v>
      </c>
      <c r="G605" s="57">
        <v>6.0999999999999999E-2</v>
      </c>
      <c r="I605" s="33">
        <f t="shared" si="2"/>
        <v>0.97213114754098373</v>
      </c>
    </row>
    <row r="606" spans="1:9" x14ac:dyDescent="0.2">
      <c r="A606" s="70">
        <v>44704</v>
      </c>
      <c r="B606" s="57">
        <v>2027</v>
      </c>
      <c r="C606" s="57">
        <v>2</v>
      </c>
      <c r="D606" s="57" t="s">
        <v>175</v>
      </c>
      <c r="E606" s="57">
        <v>0</v>
      </c>
      <c r="F606" s="57">
        <v>0.1026</v>
      </c>
      <c r="G606" s="57">
        <v>5.1999999999999998E-2</v>
      </c>
      <c r="I606" s="33">
        <f t="shared" si="2"/>
        <v>0.97307692307692306</v>
      </c>
    </row>
    <row r="607" spans="1:9" x14ac:dyDescent="0.2">
      <c r="A607" s="70">
        <v>44685</v>
      </c>
      <c r="B607" s="57">
        <v>2370</v>
      </c>
      <c r="C607" s="57">
        <v>2</v>
      </c>
      <c r="D607" s="57" t="s">
        <v>192</v>
      </c>
      <c r="E607" s="57">
        <v>0</v>
      </c>
      <c r="F607" s="57">
        <v>1.0301</v>
      </c>
      <c r="G607" s="57">
        <v>0.52200000000000002</v>
      </c>
      <c r="I607" s="33">
        <f t="shared" si="2"/>
        <v>0.9733716475095785</v>
      </c>
    </row>
    <row r="608" spans="1:9" x14ac:dyDescent="0.2">
      <c r="A608" s="70">
        <v>44704</v>
      </c>
      <c r="B608" s="57">
        <v>2377</v>
      </c>
      <c r="C608" s="57">
        <v>2</v>
      </c>
      <c r="D608" s="57" t="s">
        <v>175</v>
      </c>
      <c r="E608" s="57">
        <v>1</v>
      </c>
      <c r="F608" s="57">
        <v>0.223</v>
      </c>
      <c r="G608" s="57">
        <v>0.113</v>
      </c>
      <c r="I608" s="33">
        <f t="shared" si="2"/>
        <v>0.97345132743362828</v>
      </c>
    </row>
    <row r="609" spans="1:9" x14ac:dyDescent="0.2">
      <c r="A609" s="70">
        <v>44690</v>
      </c>
      <c r="B609" s="57">
        <v>2007</v>
      </c>
      <c r="C609" s="57">
        <v>1</v>
      </c>
      <c r="D609" s="57" t="s">
        <v>175</v>
      </c>
      <c r="E609" s="57">
        <v>1</v>
      </c>
      <c r="F609" s="57">
        <v>0.1145</v>
      </c>
      <c r="G609" s="57">
        <v>5.8000000000000003E-2</v>
      </c>
      <c r="I609" s="33">
        <f t="shared" si="2"/>
        <v>0.97413793103448276</v>
      </c>
    </row>
    <row r="610" spans="1:9" x14ac:dyDescent="0.2">
      <c r="A610" s="70">
        <v>44704</v>
      </c>
      <c r="B610" s="57">
        <v>2365</v>
      </c>
      <c r="C610" s="57">
        <v>2</v>
      </c>
      <c r="D610" s="57" t="s">
        <v>192</v>
      </c>
      <c r="E610" s="57">
        <v>0</v>
      </c>
      <c r="F610" s="57">
        <v>0.86680000000000001</v>
      </c>
      <c r="G610" s="57">
        <v>0.439</v>
      </c>
      <c r="I610" s="33">
        <f t="shared" si="2"/>
        <v>0.97448747152619597</v>
      </c>
    </row>
    <row r="611" spans="1:9" x14ac:dyDescent="0.2">
      <c r="A611" s="70">
        <v>44685</v>
      </c>
      <c r="B611" s="57">
        <v>2354</v>
      </c>
      <c r="C611" s="57">
        <v>1</v>
      </c>
      <c r="D611" s="57" t="s">
        <v>175</v>
      </c>
      <c r="E611" s="57">
        <v>1</v>
      </c>
      <c r="F611" s="57">
        <v>0.21010000000000001</v>
      </c>
      <c r="G611" s="57">
        <v>0.10639999999999999</v>
      </c>
      <c r="I611" s="33">
        <f t="shared" si="2"/>
        <v>0.97462406015037617</v>
      </c>
    </row>
    <row r="612" spans="1:9" x14ac:dyDescent="0.2">
      <c r="A612" s="70">
        <v>44690</v>
      </c>
      <c r="B612" s="57">
        <v>2013</v>
      </c>
      <c r="C612" s="57">
        <v>2</v>
      </c>
      <c r="D612" s="57" t="s">
        <v>192</v>
      </c>
      <c r="E612" s="57">
        <v>0</v>
      </c>
      <c r="F612" s="57">
        <v>0.63390000000000002</v>
      </c>
      <c r="G612" s="57">
        <v>0.32100000000000001</v>
      </c>
      <c r="I612" s="33">
        <f t="shared" si="2"/>
        <v>0.97476635514018695</v>
      </c>
    </row>
    <row r="613" spans="1:9" x14ac:dyDescent="0.2">
      <c r="A613" s="70">
        <v>44690</v>
      </c>
      <c r="B613" s="57">
        <v>2026</v>
      </c>
      <c r="C613" s="57">
        <v>2</v>
      </c>
      <c r="D613" s="57" t="s">
        <v>175</v>
      </c>
      <c r="E613" s="57">
        <v>1</v>
      </c>
      <c r="F613" s="57">
        <v>0.21920000000000001</v>
      </c>
      <c r="G613" s="57">
        <v>0.111</v>
      </c>
      <c r="I613" s="33">
        <f t="shared" si="2"/>
        <v>0.97477477477477481</v>
      </c>
    </row>
    <row r="614" spans="1:9" x14ac:dyDescent="0.2">
      <c r="A614" s="70">
        <v>44684</v>
      </c>
      <c r="B614" s="57">
        <v>2382</v>
      </c>
      <c r="C614" s="57">
        <v>3</v>
      </c>
      <c r="D614" s="57" t="s">
        <v>175</v>
      </c>
      <c r="E614" s="57">
        <v>0</v>
      </c>
      <c r="F614" s="57">
        <v>0.15640000000000001</v>
      </c>
      <c r="G614" s="57">
        <v>7.9100000000000004E-2</v>
      </c>
      <c r="H614" s="57" t="s">
        <v>196</v>
      </c>
      <c r="I614" s="33">
        <f t="shared" si="2"/>
        <v>0.97724399494310998</v>
      </c>
    </row>
    <row r="615" spans="1:9" x14ac:dyDescent="0.2">
      <c r="A615" s="70">
        <v>44690</v>
      </c>
      <c r="B615" s="57">
        <v>2023</v>
      </c>
      <c r="C615" s="57">
        <v>1</v>
      </c>
      <c r="D615" s="57" t="s">
        <v>175</v>
      </c>
      <c r="E615" s="57">
        <v>1</v>
      </c>
      <c r="F615" s="57">
        <v>0.20530000000000001</v>
      </c>
      <c r="G615" s="57">
        <v>0.1038</v>
      </c>
      <c r="I615" s="33">
        <f t="shared" si="2"/>
        <v>0.97784200385356457</v>
      </c>
    </row>
    <row r="616" spans="1:9" x14ac:dyDescent="0.2">
      <c r="A616" s="70">
        <v>44704</v>
      </c>
      <c r="B616" s="57">
        <v>2384</v>
      </c>
      <c r="C616" s="57">
        <v>1</v>
      </c>
      <c r="D616" s="57" t="s">
        <v>175</v>
      </c>
      <c r="E616" s="57">
        <v>0</v>
      </c>
      <c r="F616" s="57">
        <v>8.5699999999999998E-2</v>
      </c>
      <c r="G616" s="57">
        <v>4.3299999999999998E-2</v>
      </c>
      <c r="I616" s="33">
        <f t="shared" si="2"/>
        <v>0.97921478060046196</v>
      </c>
    </row>
    <row r="617" spans="1:9" x14ac:dyDescent="0.2">
      <c r="A617" s="70">
        <v>44685</v>
      </c>
      <c r="B617" s="57">
        <v>2011</v>
      </c>
      <c r="C617" s="57">
        <v>2</v>
      </c>
      <c r="D617" s="57" t="s">
        <v>175</v>
      </c>
      <c r="E617" s="57">
        <v>1</v>
      </c>
      <c r="F617" s="57">
        <v>0.1144</v>
      </c>
      <c r="G617" s="57">
        <v>5.7799999999999997E-2</v>
      </c>
      <c r="I617" s="33">
        <f t="shared" si="2"/>
        <v>0.97923875432525964</v>
      </c>
    </row>
    <row r="618" spans="1:9" x14ac:dyDescent="0.2">
      <c r="A618" s="70">
        <v>44663</v>
      </c>
      <c r="B618" s="57">
        <v>2331</v>
      </c>
      <c r="C618" s="57">
        <v>1</v>
      </c>
      <c r="D618" s="57" t="s">
        <v>175</v>
      </c>
      <c r="E618" s="57">
        <v>1</v>
      </c>
      <c r="F618" s="57">
        <v>0.28699999999999998</v>
      </c>
      <c r="G618" s="57">
        <v>0.14499999999999999</v>
      </c>
      <c r="H618" s="57" t="s">
        <v>195</v>
      </c>
      <c r="I618" s="33">
        <f t="shared" si="2"/>
        <v>0.97931034482758617</v>
      </c>
    </row>
    <row r="619" spans="1:9" x14ac:dyDescent="0.2">
      <c r="A619" s="70">
        <v>44704</v>
      </c>
      <c r="B619" s="57">
        <v>2377</v>
      </c>
      <c r="C619" s="57">
        <v>1</v>
      </c>
      <c r="D619" s="57" t="s">
        <v>175</v>
      </c>
      <c r="E619" s="57">
        <v>1</v>
      </c>
      <c r="F619" s="57">
        <v>0.7641</v>
      </c>
      <c r="G619" s="57">
        <v>0.38600000000000001</v>
      </c>
      <c r="I619" s="33">
        <f t="shared" si="2"/>
        <v>0.97953367875647668</v>
      </c>
    </row>
    <row r="620" spans="1:9" x14ac:dyDescent="0.2">
      <c r="A620" s="70">
        <v>44684</v>
      </c>
      <c r="B620" s="57">
        <v>2365</v>
      </c>
      <c r="C620" s="57">
        <v>3</v>
      </c>
      <c r="D620" s="57" t="s">
        <v>175</v>
      </c>
      <c r="E620" s="57">
        <v>0</v>
      </c>
      <c r="F620" s="57">
        <v>0.14630000000000001</v>
      </c>
      <c r="G620" s="57">
        <v>7.3899999999999993E-2</v>
      </c>
      <c r="H620" s="57" t="s">
        <v>196</v>
      </c>
      <c r="I620" s="33">
        <f t="shared" si="2"/>
        <v>0.9797023004059543</v>
      </c>
    </row>
    <row r="621" spans="1:9" x14ac:dyDescent="0.2">
      <c r="A621" s="70">
        <v>44704</v>
      </c>
      <c r="B621" s="57">
        <v>2028</v>
      </c>
      <c r="C621" s="57">
        <v>1</v>
      </c>
      <c r="D621" s="57" t="s">
        <v>175</v>
      </c>
      <c r="E621" s="57">
        <v>0</v>
      </c>
      <c r="F621" s="57">
        <v>5.9200000000000003E-2</v>
      </c>
      <c r="G621" s="57">
        <v>2.9899999999999999E-2</v>
      </c>
      <c r="I621" s="33">
        <f t="shared" si="2"/>
        <v>0.9799331103678931</v>
      </c>
    </row>
    <row r="622" spans="1:9" x14ac:dyDescent="0.2">
      <c r="A622" s="70">
        <v>44635</v>
      </c>
      <c r="B622" s="57">
        <v>2023</v>
      </c>
      <c r="C622" s="57">
        <v>1</v>
      </c>
      <c r="D622" s="57" t="s">
        <v>192</v>
      </c>
      <c r="E622" s="57" t="s">
        <v>60</v>
      </c>
      <c r="F622" s="57">
        <v>4.0629999999999997</v>
      </c>
      <c r="G622" s="57">
        <v>2.052</v>
      </c>
      <c r="H622" s="57" t="s">
        <v>194</v>
      </c>
      <c r="I622" s="33">
        <f t="shared" si="2"/>
        <v>0.98001949317738768</v>
      </c>
    </row>
    <row r="623" spans="1:9" x14ac:dyDescent="0.2">
      <c r="A623" s="70">
        <v>44685</v>
      </c>
      <c r="B623" s="57">
        <v>2372</v>
      </c>
      <c r="C623" s="57">
        <v>3</v>
      </c>
      <c r="D623" s="57" t="s">
        <v>192</v>
      </c>
      <c r="E623" s="57">
        <v>0</v>
      </c>
      <c r="F623" s="57">
        <v>1.1930000000000001</v>
      </c>
      <c r="G623" s="57">
        <v>0.60240000000000005</v>
      </c>
      <c r="I623" s="33">
        <f t="shared" si="2"/>
        <v>0.9804116865869853</v>
      </c>
    </row>
    <row r="624" spans="1:9" x14ac:dyDescent="0.2">
      <c r="A624" s="70">
        <v>44684</v>
      </c>
      <c r="B624" s="57">
        <v>2347</v>
      </c>
      <c r="C624" s="57">
        <v>3</v>
      </c>
      <c r="D624" s="57" t="s">
        <v>192</v>
      </c>
      <c r="E624" s="57">
        <v>0</v>
      </c>
      <c r="F624" s="57">
        <v>1.2970999999999999</v>
      </c>
      <c r="G624" s="57">
        <v>0.65480000000000005</v>
      </c>
      <c r="H624" s="57" t="s">
        <v>196</v>
      </c>
      <c r="I624" s="33">
        <f t="shared" si="2"/>
        <v>0.98091020158827091</v>
      </c>
    </row>
    <row r="625" spans="1:9" x14ac:dyDescent="0.2">
      <c r="A625" s="70">
        <v>44650</v>
      </c>
      <c r="B625" s="57">
        <v>2354</v>
      </c>
      <c r="C625" s="57">
        <v>3</v>
      </c>
      <c r="D625" s="57" t="s">
        <v>175</v>
      </c>
      <c r="E625" s="57" t="s">
        <v>60</v>
      </c>
      <c r="F625" s="57">
        <v>0.17829999999999999</v>
      </c>
      <c r="G625" s="57">
        <v>0.09</v>
      </c>
      <c r="H625" s="57" t="s">
        <v>191</v>
      </c>
      <c r="I625" s="33">
        <f t="shared" si="2"/>
        <v>0.98111111111111104</v>
      </c>
    </row>
    <row r="626" spans="1:9" x14ac:dyDescent="0.2">
      <c r="A626" s="70">
        <v>44685</v>
      </c>
      <c r="B626" s="57">
        <v>2383</v>
      </c>
      <c r="C626" s="57">
        <v>3</v>
      </c>
      <c r="D626" s="57" t="s">
        <v>192</v>
      </c>
      <c r="E626" s="57">
        <v>0</v>
      </c>
      <c r="F626" s="57">
        <v>1.2104999999999999</v>
      </c>
      <c r="G626" s="57">
        <v>0.6109</v>
      </c>
      <c r="I626" s="33">
        <f t="shared" si="2"/>
        <v>0.98150270093304948</v>
      </c>
    </row>
    <row r="627" spans="1:9" x14ac:dyDescent="0.2">
      <c r="A627" s="70">
        <v>44690</v>
      </c>
      <c r="B627" s="57">
        <v>2026</v>
      </c>
      <c r="C627" s="57">
        <v>3</v>
      </c>
      <c r="D627" s="57" t="s">
        <v>175</v>
      </c>
      <c r="E627" s="57">
        <v>1</v>
      </c>
      <c r="F627" s="57">
        <v>9.8500000000000004E-2</v>
      </c>
      <c r="G627" s="57">
        <v>4.9700000000000001E-2</v>
      </c>
      <c r="I627" s="33">
        <f t="shared" si="2"/>
        <v>0.98189134808853118</v>
      </c>
    </row>
    <row r="628" spans="1:9" x14ac:dyDescent="0.2">
      <c r="A628" s="70">
        <v>44708</v>
      </c>
      <c r="B628" s="57">
        <v>2005</v>
      </c>
      <c r="C628" s="57">
        <v>1</v>
      </c>
      <c r="D628" s="57" t="s">
        <v>175</v>
      </c>
      <c r="E628" s="57">
        <v>0</v>
      </c>
      <c r="F628" s="57">
        <v>0.111</v>
      </c>
      <c r="G628" s="57">
        <v>5.6000000000000001E-2</v>
      </c>
      <c r="H628" s="57" t="s">
        <v>193</v>
      </c>
      <c r="I628" s="33">
        <f t="shared" si="2"/>
        <v>0.9821428571428571</v>
      </c>
    </row>
    <row r="629" spans="1:9" x14ac:dyDescent="0.2">
      <c r="A629" s="70">
        <v>44690</v>
      </c>
      <c r="B629" s="57">
        <v>2028</v>
      </c>
      <c r="C629" s="57">
        <v>1</v>
      </c>
      <c r="D629" s="57" t="s">
        <v>175</v>
      </c>
      <c r="E629" s="57">
        <v>1</v>
      </c>
      <c r="F629" s="57">
        <v>0.24579999999999999</v>
      </c>
      <c r="G629" s="57">
        <v>0.124</v>
      </c>
      <c r="I629" s="33">
        <f t="shared" si="2"/>
        <v>0.98225806451612896</v>
      </c>
    </row>
    <row r="630" spans="1:9" x14ac:dyDescent="0.2">
      <c r="A630" s="70">
        <v>44706</v>
      </c>
      <c r="B630" s="57">
        <v>2009</v>
      </c>
      <c r="C630" s="57">
        <v>1</v>
      </c>
      <c r="D630" s="57" t="s">
        <v>192</v>
      </c>
      <c r="E630" s="57">
        <v>0</v>
      </c>
      <c r="F630" s="57">
        <v>1.8566</v>
      </c>
      <c r="G630" s="57">
        <v>0.9365</v>
      </c>
      <c r="H630" s="57" t="s">
        <v>193</v>
      </c>
      <c r="I630" s="33">
        <f t="shared" si="2"/>
        <v>0.98248798718633212</v>
      </c>
    </row>
    <row r="631" spans="1:9" x14ac:dyDescent="0.2">
      <c r="A631" s="70">
        <v>44665</v>
      </c>
      <c r="B631" s="57">
        <v>2381</v>
      </c>
      <c r="C631" s="57">
        <v>3</v>
      </c>
      <c r="D631" s="57" t="s">
        <v>192</v>
      </c>
      <c r="E631" s="57">
        <v>1</v>
      </c>
      <c r="F631" s="57">
        <v>2.3696000000000002</v>
      </c>
      <c r="G631" s="57">
        <v>1.1948000000000001</v>
      </c>
      <c r="H631" s="57" t="s">
        <v>191</v>
      </c>
      <c r="I631" s="33">
        <f t="shared" si="2"/>
        <v>0.98326079678607292</v>
      </c>
    </row>
    <row r="632" spans="1:9" x14ac:dyDescent="0.2">
      <c r="A632" s="70">
        <v>44708</v>
      </c>
      <c r="B632" s="57">
        <v>2013</v>
      </c>
      <c r="C632" s="57">
        <v>3</v>
      </c>
      <c r="D632" s="57" t="s">
        <v>175</v>
      </c>
      <c r="E632" s="57">
        <v>1</v>
      </c>
      <c r="F632" s="57">
        <v>0.14680000000000001</v>
      </c>
      <c r="G632" s="57">
        <v>7.3999999999999996E-2</v>
      </c>
      <c r="H632" s="57" t="s">
        <v>193</v>
      </c>
      <c r="I632" s="33">
        <f t="shared" si="2"/>
        <v>0.98378378378378406</v>
      </c>
    </row>
    <row r="633" spans="1:9" x14ac:dyDescent="0.2">
      <c r="A633" s="70">
        <v>44685</v>
      </c>
      <c r="B633" s="57">
        <v>2354</v>
      </c>
      <c r="C633" s="57">
        <v>2</v>
      </c>
      <c r="D633" s="57" t="s">
        <v>175</v>
      </c>
      <c r="E633" s="57">
        <v>1</v>
      </c>
      <c r="F633" s="57">
        <v>0.18609999999999999</v>
      </c>
      <c r="G633" s="57">
        <v>9.3799999999999994E-2</v>
      </c>
      <c r="I633" s="33">
        <f t="shared" si="2"/>
        <v>0.98400852878464817</v>
      </c>
    </row>
    <row r="634" spans="1:9" x14ac:dyDescent="0.2">
      <c r="A634" s="70">
        <v>44684</v>
      </c>
      <c r="B634" s="57">
        <v>2346</v>
      </c>
      <c r="C634" s="57">
        <v>1</v>
      </c>
      <c r="D634" s="57" t="s">
        <v>175</v>
      </c>
      <c r="E634" s="57">
        <v>1</v>
      </c>
      <c r="F634" s="57">
        <v>0.15060000000000001</v>
      </c>
      <c r="G634" s="57">
        <v>7.5899999999999995E-2</v>
      </c>
      <c r="H634" s="57" t="s">
        <v>196</v>
      </c>
      <c r="I634" s="33">
        <f t="shared" si="2"/>
        <v>0.98418972332015842</v>
      </c>
    </row>
    <row r="635" spans="1:9" x14ac:dyDescent="0.2">
      <c r="A635" s="70">
        <v>44706</v>
      </c>
      <c r="B635" s="57">
        <v>2375</v>
      </c>
      <c r="C635" s="57">
        <v>3</v>
      </c>
      <c r="D635" s="57" t="s">
        <v>175</v>
      </c>
      <c r="E635" s="57">
        <v>1</v>
      </c>
      <c r="F635" s="57">
        <v>0.45440000000000003</v>
      </c>
      <c r="G635" s="57">
        <v>0.22900000000000001</v>
      </c>
      <c r="H635" s="57" t="s">
        <v>193</v>
      </c>
      <c r="I635" s="33">
        <f t="shared" si="2"/>
        <v>0.98427947598253274</v>
      </c>
    </row>
    <row r="636" spans="1:9" x14ac:dyDescent="0.2">
      <c r="A636" s="70">
        <v>44706</v>
      </c>
      <c r="B636" s="57">
        <v>2020</v>
      </c>
      <c r="C636" s="57">
        <v>1</v>
      </c>
      <c r="D636" s="57" t="s">
        <v>175</v>
      </c>
      <c r="E636" s="57">
        <v>1</v>
      </c>
      <c r="F636" s="57">
        <v>0.16470000000000001</v>
      </c>
      <c r="G636" s="57">
        <v>8.3000000000000004E-2</v>
      </c>
      <c r="H636" s="57" t="s">
        <v>193</v>
      </c>
      <c r="I636" s="33">
        <f t="shared" si="2"/>
        <v>0.98433734939759043</v>
      </c>
    </row>
    <row r="637" spans="1:9" x14ac:dyDescent="0.2">
      <c r="A637" s="70">
        <v>44663</v>
      </c>
      <c r="B637" s="57">
        <v>2331</v>
      </c>
      <c r="C637" s="57">
        <v>1</v>
      </c>
      <c r="D637" s="57" t="s">
        <v>175</v>
      </c>
      <c r="E637" s="57">
        <v>1</v>
      </c>
      <c r="F637" s="57">
        <v>0.127</v>
      </c>
      <c r="G637" s="57">
        <v>6.4000000000000001E-2</v>
      </c>
      <c r="H637" s="57" t="s">
        <v>195</v>
      </c>
      <c r="I637" s="33">
        <f t="shared" si="2"/>
        <v>0.984375</v>
      </c>
    </row>
    <row r="638" spans="1:9" x14ac:dyDescent="0.2">
      <c r="A638" s="70">
        <v>44706</v>
      </c>
      <c r="B638" s="57">
        <v>2346</v>
      </c>
      <c r="C638" s="57">
        <v>2</v>
      </c>
      <c r="D638" s="57" t="s">
        <v>192</v>
      </c>
      <c r="E638" s="57">
        <v>0</v>
      </c>
      <c r="F638" s="57">
        <v>1.042</v>
      </c>
      <c r="G638" s="57">
        <v>0.52500000000000002</v>
      </c>
      <c r="H638" s="57" t="s">
        <v>193</v>
      </c>
      <c r="I638" s="33">
        <f t="shared" si="2"/>
        <v>0.98476190476190473</v>
      </c>
    </row>
    <row r="639" spans="1:9" x14ac:dyDescent="0.2">
      <c r="A639" s="70">
        <v>44685</v>
      </c>
      <c r="B639" s="57">
        <v>2360</v>
      </c>
      <c r="C639" s="57">
        <v>2</v>
      </c>
      <c r="D639" s="57" t="s">
        <v>175</v>
      </c>
      <c r="E639" s="57">
        <v>0</v>
      </c>
      <c r="F639" s="57">
        <v>0.11890000000000001</v>
      </c>
      <c r="G639" s="57">
        <v>5.9900000000000002E-2</v>
      </c>
      <c r="I639" s="33">
        <f t="shared" si="2"/>
        <v>0.98497495826377301</v>
      </c>
    </row>
    <row r="640" spans="1:9" x14ac:dyDescent="0.2">
      <c r="A640" s="70">
        <v>44685</v>
      </c>
      <c r="B640" s="57">
        <v>2372</v>
      </c>
      <c r="C640" s="57">
        <v>2</v>
      </c>
      <c r="D640" s="57" t="s">
        <v>175</v>
      </c>
      <c r="E640" s="57">
        <v>1</v>
      </c>
      <c r="F640" s="57">
        <v>0.22550000000000001</v>
      </c>
      <c r="G640" s="57">
        <v>0.11360000000000001</v>
      </c>
      <c r="I640" s="33">
        <f t="shared" si="2"/>
        <v>0.98503521126760563</v>
      </c>
    </row>
    <row r="641" spans="1:9" x14ac:dyDescent="0.2">
      <c r="A641" s="70">
        <v>44665</v>
      </c>
      <c r="B641" s="57">
        <v>2031</v>
      </c>
      <c r="C641" s="57">
        <v>1</v>
      </c>
      <c r="D641" s="57" t="s">
        <v>192</v>
      </c>
      <c r="E641" s="57">
        <v>0</v>
      </c>
      <c r="F641" s="57">
        <v>2.6183999999999998</v>
      </c>
      <c r="G641" s="57">
        <v>1.3187</v>
      </c>
      <c r="H641" s="57" t="s">
        <v>191</v>
      </c>
      <c r="I641" s="33">
        <f t="shared" si="2"/>
        <v>0.98559187078183053</v>
      </c>
    </row>
    <row r="642" spans="1:9" x14ac:dyDescent="0.2">
      <c r="A642" s="70">
        <v>44704</v>
      </c>
      <c r="B642" s="57">
        <v>2027</v>
      </c>
      <c r="C642" s="57">
        <v>3</v>
      </c>
      <c r="D642" s="57" t="s">
        <v>175</v>
      </c>
      <c r="E642" s="57">
        <v>1</v>
      </c>
      <c r="F642" s="57">
        <v>0.50639999999999996</v>
      </c>
      <c r="G642" s="57">
        <v>0.255</v>
      </c>
      <c r="I642" s="33">
        <f t="shared" si="2"/>
        <v>0.98588235294117632</v>
      </c>
    </row>
    <row r="643" spans="1:9" x14ac:dyDescent="0.2">
      <c r="A643" s="70">
        <v>44704</v>
      </c>
      <c r="B643" s="57">
        <v>2027</v>
      </c>
      <c r="C643" s="57">
        <v>3</v>
      </c>
      <c r="D643" s="57" t="s">
        <v>175</v>
      </c>
      <c r="E643" s="57">
        <v>1</v>
      </c>
      <c r="F643" s="57">
        <v>0.50639999999999996</v>
      </c>
      <c r="G643" s="57">
        <v>0.255</v>
      </c>
      <c r="I643" s="33">
        <f t="shared" si="2"/>
        <v>0.98588235294117632</v>
      </c>
    </row>
    <row r="644" spans="1:9" x14ac:dyDescent="0.2">
      <c r="A644" s="70">
        <v>44706</v>
      </c>
      <c r="B644" s="57">
        <v>2378</v>
      </c>
      <c r="C644" s="57">
        <v>2</v>
      </c>
      <c r="D644" s="57" t="s">
        <v>175</v>
      </c>
      <c r="E644" s="57">
        <v>1</v>
      </c>
      <c r="F644" s="57">
        <v>7.7499999999999999E-2</v>
      </c>
      <c r="G644" s="57">
        <v>3.9E-2</v>
      </c>
      <c r="H644" s="57" t="s">
        <v>193</v>
      </c>
      <c r="I644" s="33">
        <f t="shared" si="2"/>
        <v>0.98717948717948711</v>
      </c>
    </row>
    <row r="645" spans="1:9" x14ac:dyDescent="0.2">
      <c r="A645" s="70">
        <v>44665</v>
      </c>
      <c r="B645" s="57">
        <v>2384</v>
      </c>
      <c r="C645" s="57">
        <v>2</v>
      </c>
      <c r="D645" s="57" t="s">
        <v>175</v>
      </c>
      <c r="E645" s="57">
        <v>1</v>
      </c>
      <c r="F645" s="57">
        <v>0.4017</v>
      </c>
      <c r="G645" s="57">
        <v>0.2021</v>
      </c>
      <c r="H645" s="57" t="s">
        <v>191</v>
      </c>
      <c r="I645" s="33">
        <f t="shared" si="2"/>
        <v>0.98762988619495296</v>
      </c>
    </row>
    <row r="646" spans="1:9" x14ac:dyDescent="0.2">
      <c r="A646" s="70">
        <v>44662</v>
      </c>
      <c r="B646" s="57">
        <v>2089</v>
      </c>
      <c r="C646" s="57">
        <v>2</v>
      </c>
      <c r="D646" s="57" t="s">
        <v>175</v>
      </c>
      <c r="E646" s="57">
        <v>1</v>
      </c>
      <c r="F646" s="57">
        <v>0.4995</v>
      </c>
      <c r="G646" s="57">
        <v>0.25130000000000002</v>
      </c>
      <c r="H646" s="57" t="s">
        <v>191</v>
      </c>
      <c r="I646" s="33">
        <f t="shared" si="2"/>
        <v>0.98766414643851952</v>
      </c>
    </row>
    <row r="647" spans="1:9" x14ac:dyDescent="0.2">
      <c r="A647" s="70">
        <v>44706</v>
      </c>
      <c r="B647" s="57">
        <v>2020</v>
      </c>
      <c r="C647" s="57">
        <v>2</v>
      </c>
      <c r="D647" s="57" t="s">
        <v>192</v>
      </c>
      <c r="E647" s="57">
        <v>0</v>
      </c>
      <c r="F647" s="57">
        <v>1.4272</v>
      </c>
      <c r="G647" s="57">
        <v>0.71799999999999997</v>
      </c>
      <c r="H647" s="57" t="s">
        <v>193</v>
      </c>
      <c r="I647" s="33">
        <f t="shared" si="2"/>
        <v>0.98774373259052939</v>
      </c>
    </row>
    <row r="648" spans="1:9" x14ac:dyDescent="0.2">
      <c r="A648" s="70">
        <v>44708</v>
      </c>
      <c r="B648" s="57">
        <v>2015</v>
      </c>
      <c r="C648" s="57">
        <v>3</v>
      </c>
      <c r="D648" s="57" t="s">
        <v>175</v>
      </c>
      <c r="E648" s="57">
        <v>0</v>
      </c>
      <c r="F648" s="57">
        <v>0.16500000000000001</v>
      </c>
      <c r="G648" s="57">
        <v>8.3000000000000004E-2</v>
      </c>
      <c r="H648" s="57" t="s">
        <v>193</v>
      </c>
      <c r="I648" s="33">
        <f t="shared" si="2"/>
        <v>0.98795180722891562</v>
      </c>
    </row>
    <row r="649" spans="1:9" x14ac:dyDescent="0.2">
      <c r="A649" s="70">
        <v>44704</v>
      </c>
      <c r="B649" s="57">
        <v>2343</v>
      </c>
      <c r="C649" s="57">
        <v>2</v>
      </c>
      <c r="D649" s="57" t="s">
        <v>175</v>
      </c>
      <c r="E649" s="57">
        <v>0</v>
      </c>
      <c r="F649" s="57">
        <v>0.2424</v>
      </c>
      <c r="G649" s="57">
        <v>0.12189999999999999</v>
      </c>
      <c r="I649" s="33">
        <f t="shared" si="2"/>
        <v>0.98851517637407726</v>
      </c>
    </row>
    <row r="650" spans="1:9" x14ac:dyDescent="0.2">
      <c r="A650" s="70">
        <v>44704</v>
      </c>
      <c r="B650" s="57">
        <v>2367</v>
      </c>
      <c r="C650" s="57">
        <v>3</v>
      </c>
      <c r="D650" s="57" t="s">
        <v>192</v>
      </c>
      <c r="E650" s="57">
        <v>0</v>
      </c>
      <c r="F650" s="57">
        <v>0.89290000000000003</v>
      </c>
      <c r="G650" s="57">
        <v>0.44900000000000001</v>
      </c>
      <c r="I650" s="33">
        <f t="shared" si="2"/>
        <v>0.98864142538975508</v>
      </c>
    </row>
    <row r="651" spans="1:9" x14ac:dyDescent="0.2">
      <c r="A651" s="70">
        <v>44684</v>
      </c>
      <c r="B651" s="57">
        <v>2347</v>
      </c>
      <c r="C651" s="57">
        <v>1</v>
      </c>
      <c r="D651" s="57" t="s">
        <v>175</v>
      </c>
      <c r="E651" s="57">
        <v>1</v>
      </c>
      <c r="F651" s="57">
        <v>0.23910000000000001</v>
      </c>
      <c r="G651" s="57">
        <v>0.1202</v>
      </c>
      <c r="H651" s="57" t="s">
        <v>196</v>
      </c>
      <c r="I651" s="33">
        <f t="shared" si="2"/>
        <v>0.98918469217970051</v>
      </c>
    </row>
    <row r="652" spans="1:9" x14ac:dyDescent="0.2">
      <c r="A652" s="70">
        <v>44704</v>
      </c>
      <c r="B652" s="57">
        <v>2028</v>
      </c>
      <c r="C652" s="57">
        <v>3</v>
      </c>
      <c r="D652" s="57" t="s">
        <v>175</v>
      </c>
      <c r="E652" s="57">
        <v>0</v>
      </c>
      <c r="F652" s="57">
        <v>0.1711</v>
      </c>
      <c r="G652" s="57">
        <v>8.5999999999999993E-2</v>
      </c>
      <c r="I652" s="33">
        <f t="shared" si="2"/>
        <v>0.98953488372093046</v>
      </c>
    </row>
    <row r="653" spans="1:9" x14ac:dyDescent="0.2">
      <c r="A653" s="70">
        <v>44704</v>
      </c>
      <c r="B653" s="57">
        <v>2027</v>
      </c>
      <c r="C653" s="57">
        <v>3</v>
      </c>
      <c r="D653" s="57" t="s">
        <v>192</v>
      </c>
      <c r="E653" s="57">
        <v>0</v>
      </c>
      <c r="F653" s="57">
        <v>1.9160999999999999</v>
      </c>
      <c r="G653" s="57">
        <v>0.96299999999999997</v>
      </c>
      <c r="I653" s="33">
        <f t="shared" si="2"/>
        <v>0.98971962616822429</v>
      </c>
    </row>
    <row r="654" spans="1:9" x14ac:dyDescent="0.2">
      <c r="A654" s="70">
        <v>44690</v>
      </c>
      <c r="B654" s="57">
        <v>2028</v>
      </c>
      <c r="C654" s="57">
        <v>2</v>
      </c>
      <c r="D654" s="57" t="s">
        <v>175</v>
      </c>
      <c r="E654" s="57">
        <v>0</v>
      </c>
      <c r="F654" s="57">
        <v>0.12540000000000001</v>
      </c>
      <c r="G654" s="57">
        <v>6.3E-2</v>
      </c>
      <c r="I654" s="33">
        <f t="shared" si="2"/>
        <v>0.99047619047619062</v>
      </c>
    </row>
    <row r="655" spans="1:9" x14ac:dyDescent="0.2">
      <c r="A655" s="70">
        <v>44704</v>
      </c>
      <c r="B655" s="57">
        <v>2031</v>
      </c>
      <c r="C655" s="57">
        <v>2</v>
      </c>
      <c r="D655" s="57" t="s">
        <v>175</v>
      </c>
      <c r="E655" s="57">
        <v>0</v>
      </c>
      <c r="F655" s="57">
        <v>6.3500000000000001E-2</v>
      </c>
      <c r="G655" s="57">
        <v>3.1899999999999998E-2</v>
      </c>
      <c r="I655" s="33">
        <f t="shared" si="2"/>
        <v>0.99059561128526663</v>
      </c>
    </row>
    <row r="656" spans="1:9" x14ac:dyDescent="0.2">
      <c r="A656" s="70">
        <v>44706</v>
      </c>
      <c r="B656" s="57">
        <v>2378</v>
      </c>
      <c r="C656" s="57">
        <v>1</v>
      </c>
      <c r="D656" s="57" t="s">
        <v>192</v>
      </c>
      <c r="E656" s="57">
        <v>0</v>
      </c>
      <c r="F656" s="57">
        <v>1.117</v>
      </c>
      <c r="G656" s="57">
        <v>0.56100000000000005</v>
      </c>
      <c r="H656" s="57" t="s">
        <v>193</v>
      </c>
      <c r="I656" s="33">
        <f t="shared" si="2"/>
        <v>0.99108734402852028</v>
      </c>
    </row>
    <row r="657" spans="1:9" x14ac:dyDescent="0.2">
      <c r="A657" s="70">
        <v>44708</v>
      </c>
      <c r="B657" s="57">
        <v>2004</v>
      </c>
      <c r="C657" s="57">
        <v>2</v>
      </c>
      <c r="D657" s="57" t="s">
        <v>175</v>
      </c>
      <c r="E657" s="57">
        <v>0</v>
      </c>
      <c r="F657" s="57">
        <v>0.22500000000000001</v>
      </c>
      <c r="G657" s="57">
        <v>0.113</v>
      </c>
      <c r="H657" s="57" t="s">
        <v>193</v>
      </c>
      <c r="I657" s="33">
        <f t="shared" si="2"/>
        <v>0.99115044247787609</v>
      </c>
    </row>
    <row r="658" spans="1:9" x14ac:dyDescent="0.2">
      <c r="A658" s="70">
        <v>44706</v>
      </c>
      <c r="B658" s="57">
        <v>2020</v>
      </c>
      <c r="C658" s="57">
        <v>3</v>
      </c>
      <c r="D658" s="57" t="s">
        <v>192</v>
      </c>
      <c r="E658" s="57">
        <v>0</v>
      </c>
      <c r="F658" s="57">
        <v>0.6512</v>
      </c>
      <c r="G658" s="57">
        <v>0.32700000000000001</v>
      </c>
      <c r="H658" s="57" t="s">
        <v>193</v>
      </c>
      <c r="I658" s="33">
        <f t="shared" si="2"/>
        <v>0.99143730886850145</v>
      </c>
    </row>
    <row r="659" spans="1:9" x14ac:dyDescent="0.2">
      <c r="A659" s="70">
        <v>44684</v>
      </c>
      <c r="B659" s="57">
        <v>2364</v>
      </c>
      <c r="C659" s="57">
        <v>2</v>
      </c>
      <c r="D659" s="57" t="s">
        <v>175</v>
      </c>
      <c r="E659" s="57">
        <v>0</v>
      </c>
      <c r="F659" s="57">
        <v>0.2099</v>
      </c>
      <c r="G659" s="57">
        <v>0.10539999999999999</v>
      </c>
      <c r="H659" s="57" t="s">
        <v>196</v>
      </c>
      <c r="I659" s="33">
        <f t="shared" si="2"/>
        <v>0.99146110056926007</v>
      </c>
    </row>
    <row r="660" spans="1:9" x14ac:dyDescent="0.2">
      <c r="A660" s="70">
        <v>44665</v>
      </c>
      <c r="B660" s="57">
        <v>2383</v>
      </c>
      <c r="C660" s="57">
        <v>3</v>
      </c>
      <c r="D660" s="57" t="s">
        <v>175</v>
      </c>
      <c r="E660" s="57">
        <v>1</v>
      </c>
      <c r="F660" s="57">
        <v>0.30759999999999998</v>
      </c>
      <c r="G660" s="57">
        <v>0.15440000000000001</v>
      </c>
      <c r="H660" s="57" t="s">
        <v>191</v>
      </c>
      <c r="I660" s="33">
        <f t="shared" si="2"/>
        <v>0.99222797927461115</v>
      </c>
    </row>
    <row r="661" spans="1:9" x14ac:dyDescent="0.2">
      <c r="A661" s="70">
        <v>44684</v>
      </c>
      <c r="B661" s="57">
        <v>2343</v>
      </c>
      <c r="C661" s="57">
        <v>1</v>
      </c>
      <c r="D661" s="57" t="s">
        <v>175</v>
      </c>
      <c r="E661" s="57">
        <v>1</v>
      </c>
      <c r="F661" s="57">
        <v>0.36030000000000001</v>
      </c>
      <c r="G661" s="57">
        <v>0.18079999999999999</v>
      </c>
      <c r="H661" s="57" t="s">
        <v>196</v>
      </c>
      <c r="I661" s="33">
        <f t="shared" si="2"/>
        <v>0.99280973451327448</v>
      </c>
    </row>
    <row r="662" spans="1:9" x14ac:dyDescent="0.2">
      <c r="A662" s="70">
        <v>44706</v>
      </c>
      <c r="B662" s="57">
        <v>2382</v>
      </c>
      <c r="C662" s="57">
        <v>1</v>
      </c>
      <c r="D662" s="57" t="s">
        <v>175</v>
      </c>
      <c r="E662" s="57">
        <v>1</v>
      </c>
      <c r="F662" s="57">
        <v>0.123</v>
      </c>
      <c r="G662" s="57">
        <v>6.1699999999999998E-2</v>
      </c>
      <c r="H662" s="57" t="s">
        <v>193</v>
      </c>
      <c r="I662" s="33">
        <f t="shared" si="2"/>
        <v>0.99351701782820101</v>
      </c>
    </row>
    <row r="663" spans="1:9" x14ac:dyDescent="0.2">
      <c r="A663" s="70">
        <v>44706</v>
      </c>
      <c r="B663" s="57">
        <v>2382</v>
      </c>
      <c r="C663" s="57">
        <v>2</v>
      </c>
      <c r="D663" s="57" t="s">
        <v>175</v>
      </c>
      <c r="E663" s="57">
        <v>0</v>
      </c>
      <c r="F663" s="57">
        <v>9.6500000000000002E-2</v>
      </c>
      <c r="G663" s="57">
        <v>4.8399999999999999E-2</v>
      </c>
      <c r="H663" s="57" t="s">
        <v>193</v>
      </c>
      <c r="I663" s="33">
        <f t="shared" si="2"/>
        <v>0.99380165289256206</v>
      </c>
    </row>
    <row r="664" spans="1:9" x14ac:dyDescent="0.2">
      <c r="A664" s="70">
        <v>44684</v>
      </c>
      <c r="B664" s="57">
        <v>2346</v>
      </c>
      <c r="C664" s="57">
        <v>2</v>
      </c>
      <c r="D664" s="57" t="s">
        <v>175</v>
      </c>
      <c r="E664" s="57">
        <v>0</v>
      </c>
      <c r="F664" s="57">
        <v>0.1386</v>
      </c>
      <c r="G664" s="57">
        <v>6.9500000000000006E-2</v>
      </c>
      <c r="H664" s="57" t="s">
        <v>196</v>
      </c>
      <c r="I664" s="33">
        <f t="shared" si="2"/>
        <v>0.9942446043165466</v>
      </c>
    </row>
    <row r="665" spans="1:9" x14ac:dyDescent="0.2">
      <c r="A665" s="70">
        <v>44663</v>
      </c>
      <c r="B665" s="57">
        <v>2331</v>
      </c>
      <c r="C665" s="57">
        <v>2</v>
      </c>
      <c r="D665" s="57" t="s">
        <v>175</v>
      </c>
      <c r="E665" s="57">
        <v>1</v>
      </c>
      <c r="F665" s="57">
        <v>0.35899999999999999</v>
      </c>
      <c r="G665" s="57">
        <v>0.18</v>
      </c>
      <c r="H665" s="57" t="s">
        <v>195</v>
      </c>
      <c r="I665" s="33">
        <f t="shared" si="2"/>
        <v>0.99444444444444446</v>
      </c>
    </row>
    <row r="666" spans="1:9" x14ac:dyDescent="0.2">
      <c r="A666" s="70">
        <v>44704</v>
      </c>
      <c r="B666" s="57">
        <v>2343</v>
      </c>
      <c r="C666" s="57">
        <v>3</v>
      </c>
      <c r="D666" s="57" t="s">
        <v>175</v>
      </c>
      <c r="E666" s="57">
        <v>0</v>
      </c>
      <c r="F666" s="57">
        <v>0.35210000000000002</v>
      </c>
      <c r="G666" s="57">
        <v>0.17649999999999999</v>
      </c>
      <c r="I666" s="33">
        <f t="shared" si="2"/>
        <v>0.99490084985835714</v>
      </c>
    </row>
    <row r="667" spans="1:9" x14ac:dyDescent="0.2">
      <c r="A667" s="70">
        <v>44690</v>
      </c>
      <c r="B667" s="57">
        <v>2006</v>
      </c>
      <c r="C667" s="57">
        <v>3</v>
      </c>
      <c r="D667" s="57" t="s">
        <v>192</v>
      </c>
      <c r="E667" s="57">
        <v>0</v>
      </c>
      <c r="F667" s="57">
        <v>1.2379</v>
      </c>
      <c r="G667" s="57">
        <v>0.62050000000000005</v>
      </c>
      <c r="I667" s="33">
        <f t="shared" si="2"/>
        <v>0.99500402900886364</v>
      </c>
    </row>
    <row r="668" spans="1:9" x14ac:dyDescent="0.2">
      <c r="A668" s="70">
        <v>44685</v>
      </c>
      <c r="B668" s="57">
        <v>2370</v>
      </c>
      <c r="C668" s="57">
        <v>2</v>
      </c>
      <c r="D668" s="57" t="s">
        <v>175</v>
      </c>
      <c r="E668" s="57">
        <v>1</v>
      </c>
      <c r="F668" s="57">
        <v>0.24360000000000001</v>
      </c>
      <c r="G668" s="57">
        <v>0.1221</v>
      </c>
      <c r="I668" s="33">
        <f t="shared" si="2"/>
        <v>0.99508599508599516</v>
      </c>
    </row>
    <row r="669" spans="1:9" x14ac:dyDescent="0.2">
      <c r="A669" s="70">
        <v>44704</v>
      </c>
      <c r="B669" s="57">
        <v>2028</v>
      </c>
      <c r="C669" s="57">
        <v>3</v>
      </c>
      <c r="D669" s="57" t="s">
        <v>175</v>
      </c>
      <c r="E669" s="57">
        <v>1</v>
      </c>
      <c r="F669" s="57">
        <v>0.30530000000000002</v>
      </c>
      <c r="G669" s="57">
        <v>0.153</v>
      </c>
      <c r="I669" s="33">
        <f t="shared" si="2"/>
        <v>0.99542483660130732</v>
      </c>
    </row>
    <row r="670" spans="1:9" x14ac:dyDescent="0.2">
      <c r="A670" s="70">
        <v>44708</v>
      </c>
      <c r="B670" s="57">
        <v>2091</v>
      </c>
      <c r="C670" s="57">
        <v>2</v>
      </c>
      <c r="D670" s="57" t="s">
        <v>175</v>
      </c>
      <c r="E670" s="57">
        <v>1</v>
      </c>
      <c r="F670" s="57">
        <v>0.22550000000000001</v>
      </c>
      <c r="G670" s="57">
        <v>0.113</v>
      </c>
      <c r="H670" s="57" t="s">
        <v>193</v>
      </c>
      <c r="I670" s="33">
        <f t="shared" si="2"/>
        <v>0.99557522123893805</v>
      </c>
    </row>
    <row r="671" spans="1:9" x14ac:dyDescent="0.2">
      <c r="A671" s="70">
        <v>44690</v>
      </c>
      <c r="B671" s="57">
        <v>2030</v>
      </c>
      <c r="C671" s="57">
        <v>1</v>
      </c>
      <c r="D671" s="57" t="s">
        <v>175</v>
      </c>
      <c r="E671" s="57">
        <v>0</v>
      </c>
      <c r="F671" s="57">
        <v>9.3799999999999994E-2</v>
      </c>
      <c r="G671" s="57">
        <v>4.7E-2</v>
      </c>
      <c r="I671" s="33">
        <f t="shared" si="2"/>
        <v>0.99574468085106371</v>
      </c>
    </row>
    <row r="672" spans="1:9" x14ac:dyDescent="0.2">
      <c r="A672" s="70">
        <v>44662</v>
      </c>
      <c r="B672" s="57">
        <v>2093</v>
      </c>
      <c r="C672" s="57">
        <v>2</v>
      </c>
      <c r="D672" s="57" t="s">
        <v>175</v>
      </c>
      <c r="E672" s="57">
        <v>1</v>
      </c>
      <c r="F672" s="57">
        <v>0.19420000000000001</v>
      </c>
      <c r="G672" s="57">
        <v>9.7299999999999998E-2</v>
      </c>
      <c r="H672" s="57" t="s">
        <v>191</v>
      </c>
      <c r="I672" s="33">
        <f t="shared" si="2"/>
        <v>0.9958890030832479</v>
      </c>
    </row>
    <row r="673" spans="1:9" x14ac:dyDescent="0.2">
      <c r="A673" s="70">
        <v>44690</v>
      </c>
      <c r="B673" s="57">
        <v>2027</v>
      </c>
      <c r="C673" s="57">
        <v>1</v>
      </c>
      <c r="D673" s="57" t="s">
        <v>192</v>
      </c>
      <c r="E673" s="57">
        <v>0</v>
      </c>
      <c r="F673" s="57">
        <v>1.837</v>
      </c>
      <c r="G673" s="57">
        <v>0.92</v>
      </c>
      <c r="I673" s="33">
        <f t="shared" si="2"/>
        <v>0.99673913043478246</v>
      </c>
    </row>
    <row r="674" spans="1:9" x14ac:dyDescent="0.2">
      <c r="A674" s="70">
        <v>44690</v>
      </c>
      <c r="B674" s="57">
        <v>2013</v>
      </c>
      <c r="C674" s="57">
        <v>1</v>
      </c>
      <c r="D674" s="57" t="s">
        <v>192</v>
      </c>
      <c r="E674" s="57">
        <v>0</v>
      </c>
      <c r="F674" s="57">
        <v>0.3115</v>
      </c>
      <c r="G674" s="57">
        <v>0.156</v>
      </c>
      <c r="I674" s="33">
        <f t="shared" si="2"/>
        <v>0.99679487179487181</v>
      </c>
    </row>
    <row r="675" spans="1:9" x14ac:dyDescent="0.2">
      <c r="A675" s="70">
        <v>44665</v>
      </c>
      <c r="B675" s="57">
        <v>2375</v>
      </c>
      <c r="C675" s="57">
        <v>1</v>
      </c>
      <c r="D675" s="57" t="s">
        <v>175</v>
      </c>
      <c r="E675" s="57">
        <v>1</v>
      </c>
      <c r="F675" s="57">
        <v>6.7699999999999996E-2</v>
      </c>
      <c r="G675" s="57">
        <v>3.39E-2</v>
      </c>
      <c r="H675" s="57" t="s">
        <v>191</v>
      </c>
      <c r="I675" s="33">
        <f t="shared" si="2"/>
        <v>0.99705014749262533</v>
      </c>
    </row>
    <row r="676" spans="1:9" x14ac:dyDescent="0.2">
      <c r="A676" s="70">
        <v>44684</v>
      </c>
      <c r="B676" s="57">
        <v>2081</v>
      </c>
      <c r="C676" s="57">
        <v>3</v>
      </c>
      <c r="D676" s="57" t="s">
        <v>192</v>
      </c>
      <c r="E676" s="57">
        <v>0</v>
      </c>
      <c r="F676" s="57">
        <v>1.1032</v>
      </c>
      <c r="G676" s="57">
        <v>0.5524</v>
      </c>
      <c r="H676" s="57" t="s">
        <v>196</v>
      </c>
      <c r="I676" s="33">
        <f t="shared" si="2"/>
        <v>0.99710354815351188</v>
      </c>
    </row>
    <row r="677" spans="1:9" x14ac:dyDescent="0.2">
      <c r="A677" s="70">
        <v>44690</v>
      </c>
      <c r="B677" s="57">
        <v>2023</v>
      </c>
      <c r="C677" s="57">
        <v>3</v>
      </c>
      <c r="D677" s="57" t="s">
        <v>192</v>
      </c>
      <c r="E677" s="57">
        <v>0</v>
      </c>
      <c r="F677" s="57">
        <v>1.9952000000000001</v>
      </c>
      <c r="G677" s="57">
        <v>0.99809999999999999</v>
      </c>
      <c r="I677" s="33">
        <f t="shared" si="2"/>
        <v>0.99899809638312809</v>
      </c>
    </row>
    <row r="678" spans="1:9" x14ac:dyDescent="0.2">
      <c r="A678" s="70">
        <v>44690</v>
      </c>
      <c r="B678" s="57">
        <v>2022</v>
      </c>
      <c r="C678" s="57">
        <v>2</v>
      </c>
      <c r="D678" s="57" t="s">
        <v>192</v>
      </c>
      <c r="E678" s="57">
        <v>1</v>
      </c>
      <c r="F678" s="57">
        <v>0.48230000000000001</v>
      </c>
      <c r="G678" s="57">
        <v>0.2412</v>
      </c>
      <c r="I678" s="33">
        <f t="shared" si="2"/>
        <v>0.99958540630182424</v>
      </c>
    </row>
    <row r="679" spans="1:9" x14ac:dyDescent="0.2">
      <c r="A679" s="70">
        <v>44655</v>
      </c>
      <c r="B679" s="57">
        <v>2383</v>
      </c>
      <c r="C679" s="57">
        <v>1</v>
      </c>
      <c r="D679" s="57" t="s">
        <v>192</v>
      </c>
      <c r="E679" s="57">
        <v>0</v>
      </c>
      <c r="F679" s="57">
        <v>0.98199999999999998</v>
      </c>
      <c r="G679" s="57">
        <v>0.49099999999999999</v>
      </c>
      <c r="H679" s="57" t="s">
        <v>198</v>
      </c>
      <c r="I679" s="33">
        <f t="shared" si="2"/>
        <v>1</v>
      </c>
    </row>
    <row r="680" spans="1:9" x14ac:dyDescent="0.2">
      <c r="A680" s="70">
        <v>44663</v>
      </c>
      <c r="B680" s="57">
        <v>2352</v>
      </c>
      <c r="C680" s="57">
        <v>1</v>
      </c>
      <c r="D680" s="57" t="s">
        <v>175</v>
      </c>
      <c r="E680" s="57">
        <v>1</v>
      </c>
      <c r="F680" s="57">
        <v>9.4E-2</v>
      </c>
      <c r="G680" s="57">
        <v>4.7E-2</v>
      </c>
      <c r="H680" s="57" t="s">
        <v>195</v>
      </c>
      <c r="I680" s="33">
        <f t="shared" si="2"/>
        <v>1</v>
      </c>
    </row>
    <row r="681" spans="1:9" x14ac:dyDescent="0.2">
      <c r="A681" s="70">
        <v>44684</v>
      </c>
      <c r="B681" s="57">
        <v>2081</v>
      </c>
      <c r="C681" s="57">
        <v>2</v>
      </c>
      <c r="D681" s="57" t="s">
        <v>192</v>
      </c>
      <c r="E681" s="57">
        <v>0</v>
      </c>
      <c r="F681" s="57">
        <v>0.86219999999999997</v>
      </c>
      <c r="G681" s="57">
        <v>0.43109999999999998</v>
      </c>
      <c r="H681" s="57" t="s">
        <v>196</v>
      </c>
      <c r="I681" s="33">
        <f t="shared" si="2"/>
        <v>1</v>
      </c>
    </row>
    <row r="682" spans="1:9" x14ac:dyDescent="0.2">
      <c r="A682" s="70">
        <v>44690</v>
      </c>
      <c r="B682" s="57">
        <v>2020</v>
      </c>
      <c r="C682" s="57">
        <v>3</v>
      </c>
      <c r="D682" s="57" t="s">
        <v>175</v>
      </c>
      <c r="E682" s="57">
        <v>1</v>
      </c>
      <c r="F682" s="57">
        <v>0.25800000000000001</v>
      </c>
      <c r="G682" s="57">
        <v>0.129</v>
      </c>
      <c r="I682" s="33">
        <f t="shared" si="2"/>
        <v>1</v>
      </c>
    </row>
    <row r="683" spans="1:9" x14ac:dyDescent="0.2">
      <c r="A683" s="70">
        <v>44704</v>
      </c>
      <c r="B683" s="57">
        <v>2031</v>
      </c>
      <c r="C683" s="57">
        <v>1</v>
      </c>
      <c r="D683" s="57" t="s">
        <v>175</v>
      </c>
      <c r="E683" s="57">
        <v>0</v>
      </c>
      <c r="F683" s="57">
        <v>0.11600000000000001</v>
      </c>
      <c r="G683" s="57">
        <v>5.8000000000000003E-2</v>
      </c>
      <c r="I683" s="33">
        <f t="shared" si="2"/>
        <v>1</v>
      </c>
    </row>
    <row r="684" spans="1:9" x14ac:dyDescent="0.2">
      <c r="A684" s="70">
        <v>44704</v>
      </c>
      <c r="B684" s="57">
        <v>2367</v>
      </c>
      <c r="C684" s="57">
        <v>1</v>
      </c>
      <c r="D684" s="57" t="s">
        <v>175</v>
      </c>
      <c r="E684" s="57">
        <v>0</v>
      </c>
      <c r="F684" s="57">
        <v>7.3999999999999996E-2</v>
      </c>
      <c r="G684" s="57">
        <v>3.6999999999999998E-2</v>
      </c>
      <c r="I684" s="33">
        <f t="shared" si="2"/>
        <v>1</v>
      </c>
    </row>
    <row r="685" spans="1:9" x14ac:dyDescent="0.2">
      <c r="A685" s="70">
        <v>44706</v>
      </c>
      <c r="B685" s="57">
        <v>2381</v>
      </c>
      <c r="C685" s="57">
        <v>2</v>
      </c>
      <c r="D685" s="57" t="s">
        <v>192</v>
      </c>
      <c r="E685" s="57">
        <v>0</v>
      </c>
      <c r="F685" s="57">
        <v>1.722</v>
      </c>
      <c r="G685" s="57">
        <v>0.86099999999999999</v>
      </c>
      <c r="H685" s="57" t="s">
        <v>193</v>
      </c>
      <c r="I685" s="33">
        <f t="shared" si="2"/>
        <v>1</v>
      </c>
    </row>
    <row r="686" spans="1:9" x14ac:dyDescent="0.2">
      <c r="A686" s="70">
        <v>44708</v>
      </c>
      <c r="B686" s="57">
        <v>2012</v>
      </c>
      <c r="C686" s="57">
        <v>1</v>
      </c>
      <c r="D686" s="57" t="s">
        <v>175</v>
      </c>
      <c r="E686" s="57">
        <v>0</v>
      </c>
      <c r="F686" s="57">
        <v>5.8000000000000003E-2</v>
      </c>
      <c r="G686" s="57">
        <v>2.9000000000000001E-2</v>
      </c>
      <c r="H686" s="57" t="s">
        <v>193</v>
      </c>
      <c r="I686" s="33">
        <f t="shared" si="2"/>
        <v>1</v>
      </c>
    </row>
    <row r="687" spans="1:9" x14ac:dyDescent="0.2">
      <c r="A687" s="70">
        <v>44708</v>
      </c>
      <c r="B687" s="57">
        <v>2087</v>
      </c>
      <c r="C687" s="57">
        <v>2</v>
      </c>
      <c r="D687" s="57" t="s">
        <v>175</v>
      </c>
      <c r="E687" s="57">
        <v>0</v>
      </c>
      <c r="F687" s="57">
        <v>6.2E-2</v>
      </c>
      <c r="G687" s="57">
        <v>3.1E-2</v>
      </c>
      <c r="H687" s="57" t="s">
        <v>193</v>
      </c>
      <c r="I687" s="33">
        <f t="shared" si="2"/>
        <v>1</v>
      </c>
    </row>
    <row r="688" spans="1:9" x14ac:dyDescent="0.2">
      <c r="A688" s="70">
        <v>44690</v>
      </c>
      <c r="B688" s="57">
        <v>2028</v>
      </c>
      <c r="C688" s="57">
        <v>3</v>
      </c>
      <c r="D688" s="57" t="s">
        <v>175</v>
      </c>
      <c r="E688" s="57">
        <v>0</v>
      </c>
      <c r="F688" s="57">
        <v>0.3473</v>
      </c>
      <c r="G688" s="57">
        <v>0.1736</v>
      </c>
      <c r="I688" s="33">
        <f t="shared" si="2"/>
        <v>1.0005760368663594</v>
      </c>
    </row>
    <row r="689" spans="1:9" x14ac:dyDescent="0.2">
      <c r="A689" s="70">
        <v>44704</v>
      </c>
      <c r="B689" s="57">
        <v>2367</v>
      </c>
      <c r="C689" s="57">
        <v>3</v>
      </c>
      <c r="D689" s="57" t="s">
        <v>175</v>
      </c>
      <c r="E689" s="57">
        <v>0</v>
      </c>
      <c r="F689" s="57">
        <v>0.1401</v>
      </c>
      <c r="G689" s="57">
        <v>7.0000000000000007E-2</v>
      </c>
      <c r="I689" s="33">
        <f t="shared" si="2"/>
        <v>1.0014285714285713</v>
      </c>
    </row>
    <row r="690" spans="1:9" x14ac:dyDescent="0.2">
      <c r="A690" s="70">
        <v>44665</v>
      </c>
      <c r="B690" s="57">
        <v>2004</v>
      </c>
      <c r="C690" s="57">
        <v>1</v>
      </c>
      <c r="D690" s="57" t="s">
        <v>192</v>
      </c>
      <c r="E690" s="57">
        <v>0</v>
      </c>
      <c r="F690" s="57">
        <v>0.67500000000000004</v>
      </c>
      <c r="G690" s="57">
        <v>0.33689999999999998</v>
      </c>
      <c r="H690" s="57" t="s">
        <v>191</v>
      </c>
      <c r="I690" s="33">
        <f t="shared" si="2"/>
        <v>1.0035618878005346</v>
      </c>
    </row>
    <row r="691" spans="1:9" x14ac:dyDescent="0.2">
      <c r="A691" s="70">
        <v>44685</v>
      </c>
      <c r="B691" s="57">
        <v>2360</v>
      </c>
      <c r="C691" s="57">
        <v>2</v>
      </c>
      <c r="D691" s="57" t="s">
        <v>192</v>
      </c>
      <c r="E691" s="57">
        <v>0</v>
      </c>
      <c r="F691" s="57">
        <v>1.4020999999999999</v>
      </c>
      <c r="G691" s="57">
        <v>0.69969999999999999</v>
      </c>
      <c r="I691" s="33">
        <f t="shared" si="2"/>
        <v>1.0038587966271257</v>
      </c>
    </row>
    <row r="692" spans="1:9" x14ac:dyDescent="0.2">
      <c r="A692" s="70">
        <v>44665</v>
      </c>
      <c r="B692" s="57">
        <v>2380</v>
      </c>
      <c r="C692" s="57">
        <v>1</v>
      </c>
      <c r="D692" s="57" t="s">
        <v>192</v>
      </c>
      <c r="E692" s="57">
        <v>0</v>
      </c>
      <c r="F692" s="57">
        <v>0.307</v>
      </c>
      <c r="G692" s="57">
        <v>0.1532</v>
      </c>
      <c r="H692" s="57" t="s">
        <v>191</v>
      </c>
      <c r="I692" s="33">
        <f t="shared" si="2"/>
        <v>1.0039164490861618</v>
      </c>
    </row>
    <row r="693" spans="1:9" x14ac:dyDescent="0.2">
      <c r="A693" s="70">
        <v>44690</v>
      </c>
      <c r="B693" s="57">
        <v>2021</v>
      </c>
      <c r="C693" s="57">
        <v>3</v>
      </c>
      <c r="D693" s="57" t="s">
        <v>175</v>
      </c>
      <c r="E693" s="57">
        <v>1</v>
      </c>
      <c r="F693" s="57">
        <v>0.32729999999999998</v>
      </c>
      <c r="G693" s="57">
        <v>0.1633</v>
      </c>
      <c r="I693" s="33">
        <f t="shared" si="2"/>
        <v>1.0042865890998161</v>
      </c>
    </row>
    <row r="694" spans="1:9" x14ac:dyDescent="0.2">
      <c r="A694" s="70">
        <v>44685</v>
      </c>
      <c r="B694" s="57">
        <v>2372</v>
      </c>
      <c r="C694" s="57">
        <v>1</v>
      </c>
      <c r="D694" s="57" t="s">
        <v>175</v>
      </c>
      <c r="E694" s="57">
        <v>1</v>
      </c>
      <c r="F694" s="57">
        <v>0.1239</v>
      </c>
      <c r="G694" s="57">
        <v>6.1800000000000001E-2</v>
      </c>
      <c r="I694" s="33">
        <f t="shared" si="2"/>
        <v>1.0048543689320388</v>
      </c>
    </row>
    <row r="695" spans="1:9" x14ac:dyDescent="0.2">
      <c r="A695" s="70">
        <v>44650</v>
      </c>
      <c r="B695" s="57">
        <v>2354</v>
      </c>
      <c r="C695" s="57">
        <v>2</v>
      </c>
      <c r="D695" s="57" t="s">
        <v>175</v>
      </c>
      <c r="E695" s="57">
        <v>1</v>
      </c>
      <c r="F695" s="57">
        <v>0.42709999999999998</v>
      </c>
      <c r="G695" s="57">
        <v>0.21299999999999999</v>
      </c>
      <c r="H695" s="57" t="s">
        <v>191</v>
      </c>
      <c r="I695" s="33">
        <f t="shared" si="2"/>
        <v>1.0051643192488262</v>
      </c>
    </row>
    <row r="696" spans="1:9" x14ac:dyDescent="0.2">
      <c r="A696" s="70">
        <v>44706</v>
      </c>
      <c r="B696" s="57">
        <v>2020</v>
      </c>
      <c r="C696" s="57">
        <v>3</v>
      </c>
      <c r="D696" s="57" t="s">
        <v>175</v>
      </c>
      <c r="E696" s="57">
        <v>1</v>
      </c>
      <c r="F696" s="57">
        <v>0.15040000000000001</v>
      </c>
      <c r="G696" s="57">
        <v>7.4999999999999997E-2</v>
      </c>
      <c r="H696" s="57" t="s">
        <v>193</v>
      </c>
      <c r="I696" s="33">
        <f t="shared" si="2"/>
        <v>1.0053333333333334</v>
      </c>
    </row>
    <row r="697" spans="1:9" x14ac:dyDescent="0.2">
      <c r="A697" s="70">
        <v>44665</v>
      </c>
      <c r="B697" s="57">
        <v>2377</v>
      </c>
      <c r="C697" s="57">
        <v>1</v>
      </c>
      <c r="D697" s="57" t="s">
        <v>192</v>
      </c>
      <c r="E697" s="57">
        <v>0</v>
      </c>
      <c r="F697" s="57">
        <v>0.90229999999999999</v>
      </c>
      <c r="G697" s="57">
        <v>0.44990000000000002</v>
      </c>
      <c r="H697" s="57" t="s">
        <v>191</v>
      </c>
      <c r="I697" s="33">
        <f t="shared" si="2"/>
        <v>1.0055567903978662</v>
      </c>
    </row>
    <row r="698" spans="1:9" x14ac:dyDescent="0.2">
      <c r="A698" s="70">
        <v>44690</v>
      </c>
      <c r="B698" s="57">
        <v>2013</v>
      </c>
      <c r="C698" s="57">
        <v>1</v>
      </c>
      <c r="D698" s="57" t="s">
        <v>175</v>
      </c>
      <c r="E698" s="57">
        <v>1</v>
      </c>
      <c r="F698" s="57">
        <v>0.2467</v>
      </c>
      <c r="G698" s="57">
        <v>0.123</v>
      </c>
      <c r="I698" s="33">
        <f t="shared" si="2"/>
        <v>1.0056910569105693</v>
      </c>
    </row>
    <row r="699" spans="1:9" x14ac:dyDescent="0.2">
      <c r="A699" s="70">
        <v>44690</v>
      </c>
      <c r="B699" s="57">
        <v>2024</v>
      </c>
      <c r="C699" s="57">
        <v>3</v>
      </c>
      <c r="D699" s="57" t="s">
        <v>175</v>
      </c>
      <c r="E699" s="57">
        <v>1</v>
      </c>
      <c r="F699" s="57">
        <v>0.1986</v>
      </c>
      <c r="G699" s="57">
        <v>9.9000000000000005E-2</v>
      </c>
      <c r="I699" s="33">
        <f t="shared" si="2"/>
        <v>1.0060606060606059</v>
      </c>
    </row>
    <row r="700" spans="1:9" x14ac:dyDescent="0.2">
      <c r="A700" s="70">
        <v>44662</v>
      </c>
      <c r="B700" s="57">
        <v>2089</v>
      </c>
      <c r="C700" s="57">
        <v>1</v>
      </c>
      <c r="D700" s="57" t="s">
        <v>175</v>
      </c>
      <c r="E700" s="57">
        <v>1</v>
      </c>
      <c r="F700" s="57">
        <v>3.0099999999999998E-2</v>
      </c>
      <c r="G700" s="57">
        <v>1.4999999999999999E-2</v>
      </c>
      <c r="H700" s="57" t="s">
        <v>191</v>
      </c>
      <c r="I700" s="33">
        <f t="shared" si="2"/>
        <v>1.0066666666666666</v>
      </c>
    </row>
    <row r="701" spans="1:9" x14ac:dyDescent="0.2">
      <c r="A701" s="70">
        <v>44663</v>
      </c>
      <c r="B701" s="57">
        <v>2331</v>
      </c>
      <c r="C701" s="57">
        <v>2</v>
      </c>
      <c r="D701" s="57" t="s">
        <v>175</v>
      </c>
      <c r="E701" s="57">
        <v>1</v>
      </c>
      <c r="F701" s="57">
        <v>0.30099999999999999</v>
      </c>
      <c r="G701" s="57">
        <v>0.15</v>
      </c>
      <c r="H701" s="57" t="s">
        <v>195</v>
      </c>
      <c r="I701" s="33">
        <f t="shared" si="2"/>
        <v>1.0066666666666666</v>
      </c>
    </row>
    <row r="702" spans="1:9" x14ac:dyDescent="0.2">
      <c r="A702" s="70">
        <v>44690</v>
      </c>
      <c r="B702" s="57">
        <v>2092</v>
      </c>
      <c r="C702" s="57">
        <v>3</v>
      </c>
      <c r="D702" s="57" t="s">
        <v>192</v>
      </c>
      <c r="E702" s="57">
        <v>0</v>
      </c>
      <c r="F702" s="57">
        <v>0.48570000000000002</v>
      </c>
      <c r="G702" s="57">
        <v>0.24199999999999999</v>
      </c>
      <c r="I702" s="33">
        <f t="shared" si="2"/>
        <v>1.00702479338843</v>
      </c>
    </row>
    <row r="703" spans="1:9" x14ac:dyDescent="0.2">
      <c r="A703" s="70">
        <v>44685</v>
      </c>
      <c r="B703" s="57">
        <v>2372</v>
      </c>
      <c r="C703" s="57">
        <v>2</v>
      </c>
      <c r="D703" s="57" t="s">
        <v>192</v>
      </c>
      <c r="E703" s="57">
        <v>0</v>
      </c>
      <c r="F703" s="57">
        <v>0.64790000000000003</v>
      </c>
      <c r="G703" s="57">
        <v>0.32279999999999998</v>
      </c>
      <c r="I703" s="33">
        <f t="shared" si="2"/>
        <v>1.0071251548946718</v>
      </c>
    </row>
    <row r="704" spans="1:9" x14ac:dyDescent="0.2">
      <c r="A704" s="70">
        <v>44650</v>
      </c>
      <c r="B704" s="57">
        <v>2379</v>
      </c>
      <c r="C704" s="57">
        <v>1</v>
      </c>
      <c r="D704" s="57" t="s">
        <v>175</v>
      </c>
      <c r="E704" s="57">
        <v>1</v>
      </c>
      <c r="F704" s="57">
        <v>0.13850000000000001</v>
      </c>
      <c r="G704" s="57">
        <v>6.9000000000000006E-2</v>
      </c>
      <c r="H704" s="57" t="s">
        <v>191</v>
      </c>
      <c r="I704" s="33">
        <f t="shared" si="2"/>
        <v>1.0072463768115942</v>
      </c>
    </row>
    <row r="705" spans="1:9" x14ac:dyDescent="0.2">
      <c r="A705" s="70">
        <v>44706</v>
      </c>
      <c r="B705" s="57">
        <v>2011</v>
      </c>
      <c r="C705" s="57">
        <v>2</v>
      </c>
      <c r="D705" s="57" t="s">
        <v>175</v>
      </c>
      <c r="E705" s="57">
        <v>1</v>
      </c>
      <c r="F705" s="57">
        <v>0.26500000000000001</v>
      </c>
      <c r="G705" s="57">
        <v>0.13200000000000001</v>
      </c>
      <c r="H705" s="57" t="s">
        <v>193</v>
      </c>
      <c r="I705" s="33">
        <f t="shared" si="2"/>
        <v>1.0075757575757576</v>
      </c>
    </row>
    <row r="706" spans="1:9" x14ac:dyDescent="0.2">
      <c r="A706" s="70">
        <v>44706</v>
      </c>
      <c r="B706" s="57">
        <v>2346</v>
      </c>
      <c r="C706" s="57">
        <v>2</v>
      </c>
      <c r="D706" s="57" t="s">
        <v>175</v>
      </c>
      <c r="E706" s="57">
        <v>1</v>
      </c>
      <c r="F706" s="57">
        <v>0.45789999999999997</v>
      </c>
      <c r="G706" s="57">
        <v>0.22800000000000001</v>
      </c>
      <c r="H706" s="57" t="s">
        <v>193</v>
      </c>
      <c r="I706" s="33">
        <f t="shared" si="2"/>
        <v>1.0083333333333331</v>
      </c>
    </row>
    <row r="707" spans="1:9" x14ac:dyDescent="0.2">
      <c r="A707" s="70">
        <v>44690</v>
      </c>
      <c r="B707" s="57">
        <v>2022</v>
      </c>
      <c r="C707" s="57">
        <v>3</v>
      </c>
      <c r="D707" s="57" t="s">
        <v>175</v>
      </c>
      <c r="E707" s="57">
        <v>1</v>
      </c>
      <c r="F707" s="57">
        <v>0.57799999999999996</v>
      </c>
      <c r="G707" s="57">
        <v>0.2878</v>
      </c>
      <c r="I707" s="33">
        <f t="shared" si="2"/>
        <v>1.0083391243919386</v>
      </c>
    </row>
    <row r="708" spans="1:9" x14ac:dyDescent="0.2">
      <c r="A708" s="70">
        <v>44690</v>
      </c>
      <c r="B708" s="57">
        <v>2006</v>
      </c>
      <c r="C708" s="57">
        <v>1</v>
      </c>
      <c r="D708" s="57" t="s">
        <v>192</v>
      </c>
      <c r="E708" s="57">
        <v>0</v>
      </c>
      <c r="F708" s="57">
        <v>0.78810000000000002</v>
      </c>
      <c r="G708" s="57">
        <v>0.39240000000000003</v>
      </c>
      <c r="I708" s="33">
        <f t="shared" si="2"/>
        <v>1.0084097859327217</v>
      </c>
    </row>
    <row r="709" spans="1:9" x14ac:dyDescent="0.2">
      <c r="A709" s="70">
        <v>44665</v>
      </c>
      <c r="B709" s="57">
        <v>2381</v>
      </c>
      <c r="C709" s="57">
        <v>1</v>
      </c>
      <c r="D709" s="57" t="s">
        <v>192</v>
      </c>
      <c r="E709" s="57">
        <v>1</v>
      </c>
      <c r="F709" s="57">
        <v>0.80820000000000003</v>
      </c>
      <c r="G709" s="57">
        <v>0.40229999999999999</v>
      </c>
      <c r="H709" s="57" t="s">
        <v>191</v>
      </c>
      <c r="I709" s="33">
        <f t="shared" si="2"/>
        <v>1.0089485458612977</v>
      </c>
    </row>
    <row r="710" spans="1:9" x14ac:dyDescent="0.2">
      <c r="A710" s="70">
        <v>44706</v>
      </c>
      <c r="B710" s="57">
        <v>2347</v>
      </c>
      <c r="C710" s="57">
        <v>3</v>
      </c>
      <c r="D710" s="57" t="s">
        <v>192</v>
      </c>
      <c r="E710" s="57">
        <v>0</v>
      </c>
      <c r="F710" s="57">
        <v>0.78159999999999996</v>
      </c>
      <c r="G710" s="57">
        <v>0.38900000000000001</v>
      </c>
      <c r="H710" s="57" t="s">
        <v>193</v>
      </c>
      <c r="I710" s="33">
        <f t="shared" si="2"/>
        <v>1.0092544987146528</v>
      </c>
    </row>
    <row r="711" spans="1:9" x14ac:dyDescent="0.2">
      <c r="A711" s="70">
        <v>44650</v>
      </c>
      <c r="B711" s="57">
        <v>2377</v>
      </c>
      <c r="C711" s="57">
        <v>2</v>
      </c>
      <c r="D711" s="57" t="s">
        <v>175</v>
      </c>
      <c r="E711" s="57" t="s">
        <v>60</v>
      </c>
      <c r="F711" s="57">
        <v>0.20499999999999999</v>
      </c>
      <c r="G711" s="57">
        <v>0.10199999999999999</v>
      </c>
      <c r="H711" s="57" t="s">
        <v>191</v>
      </c>
      <c r="I711" s="33">
        <f t="shared" si="2"/>
        <v>1.0098039215686274</v>
      </c>
    </row>
    <row r="712" spans="1:9" x14ac:dyDescent="0.2">
      <c r="A712" s="70">
        <v>44662</v>
      </c>
      <c r="B712" s="57">
        <v>2085</v>
      </c>
      <c r="C712" s="57">
        <v>1</v>
      </c>
      <c r="D712" s="57" t="s">
        <v>175</v>
      </c>
      <c r="E712" s="57">
        <v>1</v>
      </c>
      <c r="F712" s="57">
        <v>0.64529999999999998</v>
      </c>
      <c r="G712" s="57">
        <v>0.32100000000000001</v>
      </c>
      <c r="H712" s="57" t="s">
        <v>191</v>
      </c>
      <c r="I712" s="33">
        <f t="shared" si="2"/>
        <v>1.0102803738317756</v>
      </c>
    </row>
    <row r="713" spans="1:9" x14ac:dyDescent="0.2">
      <c r="A713" s="70">
        <v>44706</v>
      </c>
      <c r="B713" s="57">
        <v>2024</v>
      </c>
      <c r="C713" s="57">
        <v>1</v>
      </c>
      <c r="D713" s="57" t="s">
        <v>192</v>
      </c>
      <c r="E713" s="57">
        <v>0</v>
      </c>
      <c r="F713" s="57">
        <v>0.93079999999999996</v>
      </c>
      <c r="G713" s="57">
        <v>0.46300000000000002</v>
      </c>
      <c r="H713" s="57" t="s">
        <v>193</v>
      </c>
      <c r="I713" s="33">
        <f t="shared" si="2"/>
        <v>1.0103671706263497</v>
      </c>
    </row>
    <row r="714" spans="1:9" x14ac:dyDescent="0.2">
      <c r="A714" s="70">
        <v>44684</v>
      </c>
      <c r="B714" s="57">
        <v>2369</v>
      </c>
      <c r="C714" s="57">
        <v>3</v>
      </c>
      <c r="D714" s="57" t="s">
        <v>175</v>
      </c>
      <c r="E714" s="57">
        <v>0</v>
      </c>
      <c r="F714" s="57">
        <v>0.21010000000000001</v>
      </c>
      <c r="G714" s="57">
        <v>0.1045</v>
      </c>
      <c r="H714" s="57" t="s">
        <v>196</v>
      </c>
      <c r="I714" s="33">
        <f t="shared" si="2"/>
        <v>1.0105263157894739</v>
      </c>
    </row>
    <row r="715" spans="1:9" x14ac:dyDescent="0.2">
      <c r="A715" s="70">
        <v>44706</v>
      </c>
      <c r="B715" s="57">
        <v>2381</v>
      </c>
      <c r="C715" s="57">
        <v>3</v>
      </c>
      <c r="D715" s="57" t="s">
        <v>175</v>
      </c>
      <c r="E715" s="57">
        <v>0</v>
      </c>
      <c r="F715" s="57">
        <v>8.8499999999999995E-2</v>
      </c>
      <c r="G715" s="57">
        <v>4.3999999999999997E-2</v>
      </c>
      <c r="H715" s="57" t="s">
        <v>193</v>
      </c>
      <c r="I715" s="33">
        <f t="shared" si="2"/>
        <v>1.0113636363636365</v>
      </c>
    </row>
    <row r="716" spans="1:9" x14ac:dyDescent="0.2">
      <c r="A716" s="70">
        <v>44706</v>
      </c>
      <c r="B716" s="57">
        <v>2369</v>
      </c>
      <c r="C716" s="57">
        <v>1</v>
      </c>
      <c r="D716" s="57" t="s">
        <v>175</v>
      </c>
      <c r="E716" s="57">
        <v>0</v>
      </c>
      <c r="F716" s="57">
        <v>0.14080000000000001</v>
      </c>
      <c r="G716" s="57">
        <v>7.0000000000000007E-2</v>
      </c>
      <c r="H716" s="57" t="s">
        <v>193</v>
      </c>
      <c r="I716" s="33">
        <f t="shared" si="2"/>
        <v>1.0114285714285713</v>
      </c>
    </row>
    <row r="717" spans="1:9" x14ac:dyDescent="0.2">
      <c r="A717" s="70">
        <v>44690</v>
      </c>
      <c r="B717" s="57">
        <v>2021</v>
      </c>
      <c r="C717" s="57">
        <v>2</v>
      </c>
      <c r="D717" s="57" t="s">
        <v>192</v>
      </c>
      <c r="E717" s="57">
        <v>0</v>
      </c>
      <c r="F717" s="57">
        <v>0.90639999999999998</v>
      </c>
      <c r="G717" s="57">
        <v>0.4506</v>
      </c>
      <c r="I717" s="33">
        <f t="shared" si="2"/>
        <v>1.0115401686640035</v>
      </c>
    </row>
    <row r="718" spans="1:9" x14ac:dyDescent="0.2">
      <c r="A718" s="70">
        <v>44704</v>
      </c>
      <c r="B718" s="57">
        <v>2360</v>
      </c>
      <c r="C718" s="57">
        <v>2</v>
      </c>
      <c r="D718" s="57" t="s">
        <v>175</v>
      </c>
      <c r="E718" s="57">
        <v>1</v>
      </c>
      <c r="F718" s="57">
        <v>0.39650000000000002</v>
      </c>
      <c r="G718" s="57">
        <v>0.1971</v>
      </c>
      <c r="I718" s="33">
        <f t="shared" si="2"/>
        <v>1.0116692034500254</v>
      </c>
    </row>
    <row r="719" spans="1:9" x14ac:dyDescent="0.2">
      <c r="A719" s="70">
        <v>44685</v>
      </c>
      <c r="B719" s="57">
        <v>2375</v>
      </c>
      <c r="C719" s="57">
        <v>2</v>
      </c>
      <c r="D719" s="57" t="s">
        <v>192</v>
      </c>
      <c r="E719" s="57">
        <v>0</v>
      </c>
      <c r="F719" s="57">
        <v>1.9475</v>
      </c>
      <c r="G719" s="57">
        <v>0.96809999999999996</v>
      </c>
      <c r="I719" s="33">
        <f t="shared" si="2"/>
        <v>1.0116723478979446</v>
      </c>
    </row>
    <row r="720" spans="1:9" x14ac:dyDescent="0.2">
      <c r="A720" s="70">
        <v>44708</v>
      </c>
      <c r="B720" s="57">
        <v>2088</v>
      </c>
      <c r="C720" s="57">
        <v>1</v>
      </c>
      <c r="D720" s="57" t="s">
        <v>192</v>
      </c>
      <c r="E720" s="57">
        <v>0</v>
      </c>
      <c r="F720" s="57">
        <v>0.44259999999999999</v>
      </c>
      <c r="G720" s="57">
        <v>0.22</v>
      </c>
      <c r="H720" s="57" t="s">
        <v>193</v>
      </c>
      <c r="I720" s="33">
        <f t="shared" si="2"/>
        <v>1.0118181818181817</v>
      </c>
    </row>
    <row r="721" spans="1:9" x14ac:dyDescent="0.2">
      <c r="A721" s="70">
        <v>44690</v>
      </c>
      <c r="B721" s="57">
        <v>2021</v>
      </c>
      <c r="C721" s="57">
        <v>3</v>
      </c>
      <c r="D721" s="57" t="s">
        <v>192</v>
      </c>
      <c r="E721" s="57">
        <v>0</v>
      </c>
      <c r="F721" s="57">
        <v>0.97940000000000005</v>
      </c>
      <c r="G721" s="57">
        <v>0.48680000000000001</v>
      </c>
      <c r="I721" s="33">
        <f t="shared" si="2"/>
        <v>1.0119145439605588</v>
      </c>
    </row>
    <row r="722" spans="1:9" x14ac:dyDescent="0.2">
      <c r="A722" s="70">
        <v>44706</v>
      </c>
      <c r="B722" s="57">
        <v>2382</v>
      </c>
      <c r="C722" s="57">
        <v>2</v>
      </c>
      <c r="D722" s="57" t="s">
        <v>175</v>
      </c>
      <c r="E722" s="57">
        <v>1</v>
      </c>
      <c r="F722" s="57">
        <v>0.18190000000000001</v>
      </c>
      <c r="G722" s="57">
        <v>9.0399999999999994E-2</v>
      </c>
      <c r="H722" s="57" t="s">
        <v>193</v>
      </c>
      <c r="I722" s="33">
        <f t="shared" si="2"/>
        <v>1.0121681415929205</v>
      </c>
    </row>
    <row r="723" spans="1:9" x14ac:dyDescent="0.2">
      <c r="A723" s="70">
        <v>44704</v>
      </c>
      <c r="B723" s="57">
        <v>2360</v>
      </c>
      <c r="C723" s="57">
        <v>3</v>
      </c>
      <c r="D723" s="57" t="s">
        <v>175</v>
      </c>
      <c r="E723" s="57">
        <v>1</v>
      </c>
      <c r="F723" s="57">
        <v>0.30590000000000001</v>
      </c>
      <c r="G723" s="57">
        <v>0.152</v>
      </c>
      <c r="I723" s="33">
        <f t="shared" si="2"/>
        <v>1.0125000000000002</v>
      </c>
    </row>
    <row r="724" spans="1:9" x14ac:dyDescent="0.2">
      <c r="A724" s="70">
        <v>44706</v>
      </c>
      <c r="B724" s="57">
        <v>2378</v>
      </c>
      <c r="C724" s="57">
        <v>3</v>
      </c>
      <c r="D724" s="57" t="s">
        <v>192</v>
      </c>
      <c r="E724" s="57">
        <v>0</v>
      </c>
      <c r="F724" s="57">
        <v>1.2141999999999999</v>
      </c>
      <c r="G724" s="57">
        <v>0.60299999999999998</v>
      </c>
      <c r="H724" s="57" t="s">
        <v>193</v>
      </c>
      <c r="I724" s="33">
        <f t="shared" si="2"/>
        <v>1.0135986733001658</v>
      </c>
    </row>
    <row r="725" spans="1:9" x14ac:dyDescent="0.2">
      <c r="A725" s="70">
        <v>44706</v>
      </c>
      <c r="B725" s="57">
        <v>2379</v>
      </c>
      <c r="C725" s="57">
        <v>3</v>
      </c>
      <c r="D725" s="57" t="s">
        <v>192</v>
      </c>
      <c r="E725" s="57">
        <v>0</v>
      </c>
      <c r="F725" s="57">
        <v>1.3012999999999999</v>
      </c>
      <c r="G725" s="57">
        <v>0.64600000000000002</v>
      </c>
      <c r="H725" s="57" t="s">
        <v>193</v>
      </c>
      <c r="I725" s="33">
        <f t="shared" si="2"/>
        <v>1.0143962848297212</v>
      </c>
    </row>
    <row r="726" spans="1:9" x14ac:dyDescent="0.2">
      <c r="A726" s="70">
        <v>44706</v>
      </c>
      <c r="B726" s="57">
        <v>2379</v>
      </c>
      <c r="C726" s="57">
        <v>1</v>
      </c>
      <c r="D726" s="57" t="s">
        <v>175</v>
      </c>
      <c r="E726" s="57">
        <v>1</v>
      </c>
      <c r="F726" s="57">
        <v>0.1774</v>
      </c>
      <c r="G726" s="57">
        <v>8.7999999999999995E-2</v>
      </c>
      <c r="H726" s="57" t="s">
        <v>193</v>
      </c>
      <c r="I726" s="33">
        <f t="shared" si="2"/>
        <v>1.0159090909090911</v>
      </c>
    </row>
    <row r="727" spans="1:9" x14ac:dyDescent="0.2">
      <c r="A727" s="70">
        <v>44706</v>
      </c>
      <c r="B727" s="57">
        <v>2009</v>
      </c>
      <c r="C727" s="57">
        <v>3</v>
      </c>
      <c r="D727" s="57" t="s">
        <v>175</v>
      </c>
      <c r="E727" s="57">
        <v>1</v>
      </c>
      <c r="F727" s="57">
        <v>0.2641</v>
      </c>
      <c r="G727" s="57">
        <v>0.13100000000000001</v>
      </c>
      <c r="H727" s="57" t="s">
        <v>193</v>
      </c>
      <c r="I727" s="33">
        <f t="shared" si="2"/>
        <v>1.0160305343511449</v>
      </c>
    </row>
    <row r="728" spans="1:9" x14ac:dyDescent="0.2">
      <c r="A728" s="70">
        <v>44685</v>
      </c>
      <c r="B728" s="57">
        <v>2378</v>
      </c>
      <c r="C728" s="57">
        <v>3</v>
      </c>
      <c r="D728" s="57" t="s">
        <v>192</v>
      </c>
      <c r="E728" s="57">
        <v>1</v>
      </c>
      <c r="F728" s="57">
        <v>1.0829</v>
      </c>
      <c r="G728" s="57">
        <v>0.53710000000000002</v>
      </c>
      <c r="I728" s="33">
        <f t="shared" si="2"/>
        <v>1.0161981009123067</v>
      </c>
    </row>
    <row r="729" spans="1:9" x14ac:dyDescent="0.2">
      <c r="A729" s="70">
        <v>44685</v>
      </c>
      <c r="B729" s="57">
        <v>2375</v>
      </c>
      <c r="C729" s="57">
        <v>3</v>
      </c>
      <c r="D729" s="57" t="s">
        <v>192</v>
      </c>
      <c r="E729" s="57">
        <v>0</v>
      </c>
      <c r="F729" s="57">
        <v>0.97619999999999996</v>
      </c>
      <c r="G729" s="57">
        <v>0.48399999999999999</v>
      </c>
      <c r="I729" s="33">
        <f t="shared" si="2"/>
        <v>1.0169421487603305</v>
      </c>
    </row>
    <row r="730" spans="1:9" x14ac:dyDescent="0.2">
      <c r="A730" s="70">
        <v>44685</v>
      </c>
      <c r="B730" s="57">
        <v>2011</v>
      </c>
      <c r="C730" s="57">
        <v>1</v>
      </c>
      <c r="D730" s="57" t="s">
        <v>192</v>
      </c>
      <c r="E730" s="57">
        <v>0</v>
      </c>
      <c r="F730" s="57">
        <v>0.75509999999999999</v>
      </c>
      <c r="G730" s="57">
        <v>0.37430000000000002</v>
      </c>
      <c r="I730" s="33">
        <f t="shared" si="2"/>
        <v>1.0173657493988777</v>
      </c>
    </row>
    <row r="731" spans="1:9" x14ac:dyDescent="0.2">
      <c r="A731" s="70">
        <v>44706</v>
      </c>
      <c r="B731" s="57">
        <v>2381</v>
      </c>
      <c r="C731" s="57">
        <v>2</v>
      </c>
      <c r="D731" s="57" t="s">
        <v>175</v>
      </c>
      <c r="E731" s="57">
        <v>1</v>
      </c>
      <c r="F731" s="57">
        <v>0.52249999999999996</v>
      </c>
      <c r="G731" s="57">
        <v>0.25900000000000001</v>
      </c>
      <c r="H731" s="57" t="s">
        <v>193</v>
      </c>
      <c r="I731" s="33">
        <f t="shared" si="2"/>
        <v>1.0173745173745172</v>
      </c>
    </row>
    <row r="732" spans="1:9" x14ac:dyDescent="0.2">
      <c r="A732" s="70">
        <v>44708</v>
      </c>
      <c r="B732" s="57">
        <v>2086</v>
      </c>
      <c r="C732" s="57">
        <v>3</v>
      </c>
      <c r="D732" s="57" t="s">
        <v>175</v>
      </c>
      <c r="E732" s="57">
        <v>0</v>
      </c>
      <c r="F732" s="57">
        <v>0.22600000000000001</v>
      </c>
      <c r="G732" s="57">
        <v>0.112</v>
      </c>
      <c r="H732" s="57" t="s">
        <v>193</v>
      </c>
      <c r="I732" s="33">
        <f t="shared" si="2"/>
        <v>1.0178571428571428</v>
      </c>
    </row>
    <row r="733" spans="1:9" x14ac:dyDescent="0.2">
      <c r="A733" s="70">
        <v>44684</v>
      </c>
      <c r="B733" s="57">
        <v>2347</v>
      </c>
      <c r="C733" s="57">
        <v>1</v>
      </c>
      <c r="D733" s="57" t="s">
        <v>175</v>
      </c>
      <c r="E733" s="57">
        <v>0</v>
      </c>
      <c r="F733" s="57">
        <v>0.2014</v>
      </c>
      <c r="G733" s="57">
        <v>9.98E-2</v>
      </c>
      <c r="H733" s="57" t="s">
        <v>196</v>
      </c>
      <c r="I733" s="33">
        <f t="shared" si="2"/>
        <v>1.0180360721442885</v>
      </c>
    </row>
    <row r="734" spans="1:9" x14ac:dyDescent="0.2">
      <c r="A734" s="70">
        <v>44706</v>
      </c>
      <c r="B734" s="57">
        <v>2370</v>
      </c>
      <c r="C734" s="57">
        <v>1</v>
      </c>
      <c r="D734" s="57" t="s">
        <v>192</v>
      </c>
      <c r="E734" s="57">
        <v>0</v>
      </c>
      <c r="F734" s="57">
        <v>1.1019000000000001</v>
      </c>
      <c r="G734" s="57">
        <v>0.54600000000000004</v>
      </c>
      <c r="H734" s="57" t="s">
        <v>193</v>
      </c>
      <c r="I734" s="33">
        <f t="shared" si="2"/>
        <v>1.0181318681318681</v>
      </c>
    </row>
    <row r="735" spans="1:9" x14ac:dyDescent="0.2">
      <c r="A735" s="70">
        <v>44690</v>
      </c>
      <c r="B735" s="57">
        <v>2007</v>
      </c>
      <c r="C735" s="57">
        <v>3</v>
      </c>
      <c r="D735" s="57" t="s">
        <v>175</v>
      </c>
      <c r="E735" s="57">
        <v>0</v>
      </c>
      <c r="F735" s="57">
        <v>0.218</v>
      </c>
      <c r="G735" s="57">
        <v>0.108</v>
      </c>
      <c r="I735" s="33">
        <f t="shared" si="2"/>
        <v>1.0185185185185186</v>
      </c>
    </row>
    <row r="736" spans="1:9" x14ac:dyDescent="0.2">
      <c r="A736" s="70">
        <v>44663</v>
      </c>
      <c r="B736" s="57">
        <v>2346</v>
      </c>
      <c r="C736" s="57">
        <v>1</v>
      </c>
      <c r="D736" s="57" t="s">
        <v>192</v>
      </c>
      <c r="E736" s="57">
        <v>1</v>
      </c>
      <c r="F736" s="57">
        <v>0.313</v>
      </c>
      <c r="G736" s="57">
        <v>0.155</v>
      </c>
      <c r="H736" s="57" t="s">
        <v>195</v>
      </c>
      <c r="I736" s="33">
        <f t="shared" si="2"/>
        <v>1.0193548387096774</v>
      </c>
    </row>
    <row r="737" spans="1:9" x14ac:dyDescent="0.2">
      <c r="A737" s="70">
        <v>44665</v>
      </c>
      <c r="B737" s="57">
        <v>2381</v>
      </c>
      <c r="C737" s="57">
        <v>2</v>
      </c>
      <c r="D737" s="57" t="s">
        <v>192</v>
      </c>
      <c r="E737" s="57">
        <v>1</v>
      </c>
      <c r="F737" s="57">
        <v>2.0297000000000001</v>
      </c>
      <c r="G737" s="57">
        <v>1.0049999999999999</v>
      </c>
      <c r="H737" s="57" t="s">
        <v>191</v>
      </c>
      <c r="I737" s="33">
        <f t="shared" si="2"/>
        <v>1.0196019900497515</v>
      </c>
    </row>
    <row r="738" spans="1:9" x14ac:dyDescent="0.2">
      <c r="A738" s="70">
        <v>44685</v>
      </c>
      <c r="B738" s="57">
        <v>2011</v>
      </c>
      <c r="C738" s="57">
        <v>3</v>
      </c>
      <c r="D738" s="57" t="s">
        <v>175</v>
      </c>
      <c r="E738" s="57">
        <v>1</v>
      </c>
      <c r="F738" s="57">
        <v>0.1331</v>
      </c>
      <c r="G738" s="57">
        <v>6.59E-2</v>
      </c>
      <c r="I738" s="33">
        <f t="shared" si="2"/>
        <v>1.0197268588770865</v>
      </c>
    </row>
    <row r="739" spans="1:9" x14ac:dyDescent="0.2">
      <c r="A739" s="70">
        <v>44685</v>
      </c>
      <c r="B739" s="57">
        <v>2371</v>
      </c>
      <c r="C739" s="57">
        <v>1</v>
      </c>
      <c r="D739" s="57" t="s">
        <v>192</v>
      </c>
      <c r="E739" s="57">
        <v>0</v>
      </c>
      <c r="F739" s="57">
        <v>1.3211999999999999</v>
      </c>
      <c r="G739" s="57">
        <v>0.65410000000000001</v>
      </c>
      <c r="I739" s="33">
        <f t="shared" si="2"/>
        <v>1.0198746369056717</v>
      </c>
    </row>
    <row r="740" spans="1:9" x14ac:dyDescent="0.2">
      <c r="A740" s="70">
        <v>44706</v>
      </c>
      <c r="B740" s="57">
        <v>2347</v>
      </c>
      <c r="C740" s="57">
        <v>1</v>
      </c>
      <c r="D740" s="57" t="s">
        <v>192</v>
      </c>
      <c r="E740" s="57">
        <v>0</v>
      </c>
      <c r="F740" s="57">
        <v>1.1556999999999999</v>
      </c>
      <c r="G740" s="57">
        <v>0.57199999999999995</v>
      </c>
      <c r="H740" s="57" t="s">
        <v>193</v>
      </c>
      <c r="I740" s="33">
        <f t="shared" si="2"/>
        <v>1.0204545454545455</v>
      </c>
    </row>
    <row r="741" spans="1:9" x14ac:dyDescent="0.2">
      <c r="A741" s="70">
        <v>44706</v>
      </c>
      <c r="B741" s="57">
        <v>2375</v>
      </c>
      <c r="C741" s="57">
        <v>1</v>
      </c>
      <c r="D741" s="57" t="s">
        <v>192</v>
      </c>
      <c r="E741" s="57">
        <v>0</v>
      </c>
      <c r="F741" s="57">
        <v>1.0289999999999999</v>
      </c>
      <c r="G741" s="57">
        <v>0.50900000000000001</v>
      </c>
      <c r="H741" s="57" t="s">
        <v>193</v>
      </c>
      <c r="I741" s="33">
        <f t="shared" si="2"/>
        <v>1.0216110019646363</v>
      </c>
    </row>
    <row r="742" spans="1:9" x14ac:dyDescent="0.2">
      <c r="A742" s="70">
        <v>44690</v>
      </c>
      <c r="B742" s="57">
        <v>2091</v>
      </c>
      <c r="C742" s="57">
        <v>1</v>
      </c>
      <c r="D742" s="57" t="s">
        <v>192</v>
      </c>
      <c r="E742" s="57">
        <v>0</v>
      </c>
      <c r="F742" s="57">
        <v>1.2878000000000001</v>
      </c>
      <c r="G742" s="57">
        <v>0.63700000000000001</v>
      </c>
      <c r="I742" s="33">
        <f t="shared" si="2"/>
        <v>1.0216640502354788</v>
      </c>
    </row>
    <row r="743" spans="1:9" x14ac:dyDescent="0.2">
      <c r="A743" s="70">
        <v>44690</v>
      </c>
      <c r="B743" s="57">
        <v>2028</v>
      </c>
      <c r="C743" s="57">
        <v>2</v>
      </c>
      <c r="D743" s="57" t="s">
        <v>192</v>
      </c>
      <c r="E743" s="57">
        <v>0</v>
      </c>
      <c r="F743" s="57">
        <v>1.3615999999999999</v>
      </c>
      <c r="G743" s="57">
        <v>0.6734</v>
      </c>
      <c r="I743" s="33">
        <f t="shared" si="2"/>
        <v>1.0219780219780219</v>
      </c>
    </row>
    <row r="744" spans="1:9" x14ac:dyDescent="0.2">
      <c r="A744" s="70">
        <v>44704</v>
      </c>
      <c r="B744" s="57">
        <v>2021</v>
      </c>
      <c r="C744" s="57">
        <v>1</v>
      </c>
      <c r="D744" s="57" t="s">
        <v>175</v>
      </c>
      <c r="E744" s="57">
        <v>0</v>
      </c>
      <c r="F744" s="57">
        <v>3.6400000000000002E-2</v>
      </c>
      <c r="G744" s="57">
        <v>1.7999999999999999E-2</v>
      </c>
      <c r="I744" s="33">
        <f t="shared" si="2"/>
        <v>1.0222222222222224</v>
      </c>
    </row>
    <row r="745" spans="1:9" x14ac:dyDescent="0.2">
      <c r="A745" s="70">
        <v>44708</v>
      </c>
      <c r="B745" s="57">
        <v>2013</v>
      </c>
      <c r="C745" s="57">
        <v>3</v>
      </c>
      <c r="D745" s="57" t="s">
        <v>175</v>
      </c>
      <c r="E745" s="57">
        <v>0</v>
      </c>
      <c r="F745" s="57">
        <v>0.2913</v>
      </c>
      <c r="G745" s="57">
        <v>0.14399999999999999</v>
      </c>
      <c r="H745" s="57" t="s">
        <v>193</v>
      </c>
      <c r="I745" s="33">
        <f t="shared" si="2"/>
        <v>1.0229166666666669</v>
      </c>
    </row>
    <row r="746" spans="1:9" x14ac:dyDescent="0.2">
      <c r="A746" s="70">
        <v>44706</v>
      </c>
      <c r="B746" s="57">
        <v>2379</v>
      </c>
      <c r="C746" s="57">
        <v>3</v>
      </c>
      <c r="D746" s="57" t="s">
        <v>175</v>
      </c>
      <c r="E746" s="57">
        <v>1</v>
      </c>
      <c r="F746" s="57">
        <v>0.44790000000000002</v>
      </c>
      <c r="G746" s="57">
        <v>0.2213</v>
      </c>
      <c r="H746" s="57" t="s">
        <v>193</v>
      </c>
      <c r="I746" s="33">
        <f t="shared" si="2"/>
        <v>1.0239493899683689</v>
      </c>
    </row>
    <row r="747" spans="1:9" x14ac:dyDescent="0.2">
      <c r="A747" s="70">
        <v>44665</v>
      </c>
      <c r="B747" s="57">
        <v>2009</v>
      </c>
      <c r="C747" s="57">
        <v>1</v>
      </c>
      <c r="D747" s="57" t="s">
        <v>192</v>
      </c>
      <c r="E747" s="57">
        <v>0</v>
      </c>
      <c r="F747" s="57">
        <v>1.6727000000000001</v>
      </c>
      <c r="G747" s="57">
        <v>0.82630000000000003</v>
      </c>
      <c r="H747" s="57" t="s">
        <v>191</v>
      </c>
      <c r="I747" s="33">
        <f t="shared" si="2"/>
        <v>1.0243253055790875</v>
      </c>
    </row>
    <row r="748" spans="1:9" x14ac:dyDescent="0.2">
      <c r="A748" s="70">
        <v>44665</v>
      </c>
      <c r="B748" s="57">
        <v>2028</v>
      </c>
      <c r="C748" s="57">
        <v>2</v>
      </c>
      <c r="D748" s="57" t="s">
        <v>192</v>
      </c>
      <c r="E748" s="57">
        <v>0</v>
      </c>
      <c r="F748" s="57">
        <v>0.79279999999999995</v>
      </c>
      <c r="G748" s="57">
        <v>0.3916</v>
      </c>
      <c r="H748" s="57" t="s">
        <v>191</v>
      </c>
      <c r="I748" s="33">
        <f t="shared" si="2"/>
        <v>1.0245148110316649</v>
      </c>
    </row>
    <row r="749" spans="1:9" x14ac:dyDescent="0.2">
      <c r="A749" s="70">
        <v>44684</v>
      </c>
      <c r="B749" s="57">
        <v>2369</v>
      </c>
      <c r="C749" s="57">
        <v>1</v>
      </c>
      <c r="D749" s="57" t="s">
        <v>175</v>
      </c>
      <c r="E749" s="57">
        <v>0</v>
      </c>
      <c r="F749" s="57">
        <v>8.7900000000000006E-2</v>
      </c>
      <c r="G749" s="57">
        <v>4.3400000000000001E-2</v>
      </c>
      <c r="H749" s="57" t="s">
        <v>196</v>
      </c>
      <c r="I749" s="33">
        <f t="shared" si="2"/>
        <v>1.0253456221198158</v>
      </c>
    </row>
    <row r="750" spans="1:9" x14ac:dyDescent="0.2">
      <c r="A750" s="70">
        <v>44684</v>
      </c>
      <c r="B750" s="57">
        <v>2365</v>
      </c>
      <c r="C750" s="57">
        <v>3</v>
      </c>
      <c r="D750" s="57" t="s">
        <v>192</v>
      </c>
      <c r="E750" s="57">
        <v>0</v>
      </c>
      <c r="F750" s="57">
        <v>0.96660000000000001</v>
      </c>
      <c r="G750" s="57">
        <v>0.47720000000000001</v>
      </c>
      <c r="H750" s="57" t="s">
        <v>196</v>
      </c>
      <c r="I750" s="33">
        <f t="shared" si="2"/>
        <v>1.0255658005029338</v>
      </c>
    </row>
    <row r="751" spans="1:9" x14ac:dyDescent="0.2">
      <c r="A751" s="70">
        <v>44704</v>
      </c>
      <c r="B751" s="57">
        <v>2026</v>
      </c>
      <c r="C751" s="57">
        <v>2</v>
      </c>
      <c r="D751" s="57" t="s">
        <v>175</v>
      </c>
      <c r="E751" s="57">
        <v>0</v>
      </c>
      <c r="F751" s="57">
        <v>6.8900000000000003E-2</v>
      </c>
      <c r="G751" s="57">
        <v>3.4000000000000002E-2</v>
      </c>
      <c r="I751" s="33">
        <f t="shared" si="2"/>
        <v>1.026470588235294</v>
      </c>
    </row>
    <row r="752" spans="1:9" x14ac:dyDescent="0.2">
      <c r="A752" s="70">
        <v>44685</v>
      </c>
      <c r="B752" s="57">
        <v>2378</v>
      </c>
      <c r="C752" s="57">
        <v>3</v>
      </c>
      <c r="D752" s="57" t="s">
        <v>175</v>
      </c>
      <c r="E752" s="57">
        <v>1</v>
      </c>
      <c r="F752" s="57">
        <v>0.153</v>
      </c>
      <c r="G752" s="57">
        <v>7.5499999999999998E-2</v>
      </c>
      <c r="I752" s="33">
        <f t="shared" si="2"/>
        <v>1.0264900662251657</v>
      </c>
    </row>
    <row r="753" spans="1:9" x14ac:dyDescent="0.2">
      <c r="A753" s="70">
        <v>44706</v>
      </c>
      <c r="B753" s="57">
        <v>2024</v>
      </c>
      <c r="C753" s="57">
        <v>2</v>
      </c>
      <c r="D753" s="57" t="s">
        <v>192</v>
      </c>
      <c r="E753" s="57">
        <v>0</v>
      </c>
      <c r="F753" s="57">
        <v>1.2767999999999999</v>
      </c>
      <c r="G753" s="57">
        <v>0.63</v>
      </c>
      <c r="H753" s="57" t="s">
        <v>193</v>
      </c>
      <c r="I753" s="33">
        <f t="shared" si="2"/>
        <v>1.0266666666666666</v>
      </c>
    </row>
    <row r="754" spans="1:9" x14ac:dyDescent="0.2">
      <c r="A754" s="70">
        <v>44706</v>
      </c>
      <c r="B754" s="57">
        <v>2347</v>
      </c>
      <c r="C754" s="57">
        <v>2</v>
      </c>
      <c r="D754" s="57" t="s">
        <v>192</v>
      </c>
      <c r="E754" s="57">
        <v>0</v>
      </c>
      <c r="F754" s="57">
        <v>1.7795000000000001</v>
      </c>
      <c r="G754" s="57">
        <v>0.878</v>
      </c>
      <c r="H754" s="57" t="s">
        <v>193</v>
      </c>
      <c r="I754" s="33">
        <f t="shared" si="2"/>
        <v>1.0267653758542141</v>
      </c>
    </row>
    <row r="755" spans="1:9" x14ac:dyDescent="0.2">
      <c r="A755" s="70">
        <v>44665</v>
      </c>
      <c r="B755" s="57">
        <v>2025</v>
      </c>
      <c r="C755" s="57">
        <v>1</v>
      </c>
      <c r="D755" s="57" t="s">
        <v>192</v>
      </c>
      <c r="E755" s="57">
        <v>0</v>
      </c>
      <c r="F755" s="57">
        <v>0.57809999999999995</v>
      </c>
      <c r="G755" s="57">
        <v>0.28520000000000001</v>
      </c>
      <c r="H755" s="57" t="s">
        <v>191</v>
      </c>
      <c r="I755" s="33">
        <f t="shared" si="2"/>
        <v>1.0269985974754556</v>
      </c>
    </row>
    <row r="756" spans="1:9" x14ac:dyDescent="0.2">
      <c r="A756" s="70">
        <v>44704</v>
      </c>
      <c r="B756" s="57">
        <v>2360</v>
      </c>
      <c r="C756" s="57">
        <v>2</v>
      </c>
      <c r="D756" s="57" t="s">
        <v>175</v>
      </c>
      <c r="E756" s="57">
        <v>0</v>
      </c>
      <c r="F756" s="57">
        <v>0.21290000000000001</v>
      </c>
      <c r="G756" s="57">
        <v>0.105</v>
      </c>
      <c r="I756" s="33">
        <f t="shared" si="2"/>
        <v>1.0276190476190477</v>
      </c>
    </row>
    <row r="757" spans="1:9" x14ac:dyDescent="0.2">
      <c r="A757" s="70">
        <v>44704</v>
      </c>
      <c r="B757" s="57">
        <v>2029</v>
      </c>
      <c r="C757" s="57">
        <v>3</v>
      </c>
      <c r="D757" s="57" t="s">
        <v>175</v>
      </c>
      <c r="E757" s="57">
        <v>0</v>
      </c>
      <c r="F757" s="57">
        <v>7.2999999999999995E-2</v>
      </c>
      <c r="G757" s="57">
        <v>3.5999999999999997E-2</v>
      </c>
      <c r="I757" s="33">
        <f t="shared" si="2"/>
        <v>1.0277777777777779</v>
      </c>
    </row>
    <row r="758" spans="1:9" x14ac:dyDescent="0.2">
      <c r="A758" s="70">
        <v>44706</v>
      </c>
      <c r="B758" s="57">
        <v>2020</v>
      </c>
      <c r="C758" s="57">
        <v>1</v>
      </c>
      <c r="D758" s="57" t="s">
        <v>192</v>
      </c>
      <c r="E758" s="57">
        <v>0</v>
      </c>
      <c r="F758" s="57">
        <v>1.4925999999999999</v>
      </c>
      <c r="G758" s="57">
        <v>0.73599999999999999</v>
      </c>
      <c r="H758" s="57" t="s">
        <v>193</v>
      </c>
      <c r="I758" s="33">
        <f t="shared" si="2"/>
        <v>1.0279891304347826</v>
      </c>
    </row>
    <row r="759" spans="1:9" x14ac:dyDescent="0.2">
      <c r="A759" s="70">
        <v>44706</v>
      </c>
      <c r="B759" s="57">
        <v>2378</v>
      </c>
      <c r="C759" s="57">
        <v>1</v>
      </c>
      <c r="D759" s="57" t="s">
        <v>175</v>
      </c>
      <c r="E759" s="57">
        <v>0</v>
      </c>
      <c r="F759" s="57">
        <v>0.1663</v>
      </c>
      <c r="G759" s="57">
        <v>8.2000000000000003E-2</v>
      </c>
      <c r="H759" s="57" t="s">
        <v>193</v>
      </c>
      <c r="I759" s="33">
        <f t="shared" si="2"/>
        <v>1.0280487804878049</v>
      </c>
    </row>
    <row r="760" spans="1:9" x14ac:dyDescent="0.2">
      <c r="A760" s="70">
        <v>44650</v>
      </c>
      <c r="B760" s="57">
        <v>2301</v>
      </c>
      <c r="C760" s="57">
        <v>2</v>
      </c>
      <c r="D760" s="57" t="s">
        <v>175</v>
      </c>
      <c r="E760" s="57" t="s">
        <v>60</v>
      </c>
      <c r="F760" s="57">
        <v>0.1217</v>
      </c>
      <c r="G760" s="57">
        <v>0.06</v>
      </c>
      <c r="H760" s="57" t="s">
        <v>191</v>
      </c>
      <c r="I760" s="33">
        <f t="shared" si="2"/>
        <v>1.0283333333333335</v>
      </c>
    </row>
    <row r="761" spans="1:9" x14ac:dyDescent="0.2">
      <c r="A761" s="70">
        <v>44684</v>
      </c>
      <c r="B761" s="57">
        <v>2382</v>
      </c>
      <c r="C761" s="57">
        <v>2</v>
      </c>
      <c r="D761" s="57" t="s">
        <v>175</v>
      </c>
      <c r="E761" s="57">
        <v>0</v>
      </c>
      <c r="F761" s="57">
        <v>0.16389999999999999</v>
      </c>
      <c r="G761" s="57">
        <v>8.0799999999999997E-2</v>
      </c>
      <c r="H761" s="57" t="s">
        <v>196</v>
      </c>
      <c r="I761" s="33">
        <f t="shared" si="2"/>
        <v>1.0284653465346534</v>
      </c>
    </row>
    <row r="762" spans="1:9" x14ac:dyDescent="0.2">
      <c r="A762" s="70">
        <v>44690</v>
      </c>
      <c r="B762" s="57">
        <v>2028</v>
      </c>
      <c r="C762" s="57">
        <v>2</v>
      </c>
      <c r="D762" s="57" t="s">
        <v>175</v>
      </c>
      <c r="E762" s="57">
        <v>1</v>
      </c>
      <c r="F762" s="57">
        <v>0.25769999999999998</v>
      </c>
      <c r="G762" s="57">
        <v>0.127</v>
      </c>
      <c r="I762" s="33">
        <f t="shared" si="2"/>
        <v>1.0291338582677163</v>
      </c>
    </row>
    <row r="763" spans="1:9" x14ac:dyDescent="0.2">
      <c r="A763" s="70">
        <v>44706</v>
      </c>
      <c r="B763" s="57">
        <v>2025</v>
      </c>
      <c r="C763" s="57">
        <v>3</v>
      </c>
      <c r="D763" s="57" t="s">
        <v>175</v>
      </c>
      <c r="E763" s="57">
        <v>0</v>
      </c>
      <c r="F763" s="57">
        <v>0.24560000000000001</v>
      </c>
      <c r="G763" s="57">
        <v>0.121</v>
      </c>
      <c r="H763" s="57" t="s">
        <v>193</v>
      </c>
      <c r="I763" s="33">
        <f t="shared" si="2"/>
        <v>1.0297520661157027</v>
      </c>
    </row>
    <row r="764" spans="1:9" x14ac:dyDescent="0.2">
      <c r="A764" s="70">
        <v>44665</v>
      </c>
      <c r="B764" s="57">
        <v>2383</v>
      </c>
      <c r="C764" s="57">
        <v>2</v>
      </c>
      <c r="D764" s="57" t="s">
        <v>175</v>
      </c>
      <c r="E764" s="57">
        <v>1</v>
      </c>
      <c r="F764" s="57">
        <v>7.4499999999999997E-2</v>
      </c>
      <c r="G764" s="57">
        <v>3.6700000000000003E-2</v>
      </c>
      <c r="H764" s="57" t="s">
        <v>191</v>
      </c>
      <c r="I764" s="33">
        <f t="shared" si="2"/>
        <v>1.0299727520435964</v>
      </c>
    </row>
    <row r="765" spans="1:9" x14ac:dyDescent="0.2">
      <c r="A765" s="70">
        <v>44708</v>
      </c>
      <c r="B765" s="57">
        <v>2088</v>
      </c>
      <c r="C765" s="57">
        <v>2</v>
      </c>
      <c r="D765" s="57" t="s">
        <v>175</v>
      </c>
      <c r="E765" s="57">
        <v>1</v>
      </c>
      <c r="F765" s="57">
        <v>0.40400000000000003</v>
      </c>
      <c r="G765" s="57">
        <v>0.19900000000000001</v>
      </c>
      <c r="H765" s="57" t="s">
        <v>193</v>
      </c>
      <c r="I765" s="33">
        <f t="shared" si="2"/>
        <v>1.0301507537688444</v>
      </c>
    </row>
    <row r="766" spans="1:9" x14ac:dyDescent="0.2">
      <c r="A766" s="70">
        <v>44665</v>
      </c>
      <c r="B766" s="57">
        <v>2012</v>
      </c>
      <c r="C766" s="57">
        <v>3</v>
      </c>
      <c r="D766" s="57" t="s">
        <v>175</v>
      </c>
      <c r="E766" s="57">
        <v>0</v>
      </c>
      <c r="F766" s="57">
        <v>0.2079</v>
      </c>
      <c r="G766" s="57">
        <v>0.1024</v>
      </c>
      <c r="H766" s="57" t="s">
        <v>191</v>
      </c>
      <c r="I766" s="33">
        <f t="shared" si="2"/>
        <v>1.0302734375</v>
      </c>
    </row>
    <row r="767" spans="1:9" x14ac:dyDescent="0.2">
      <c r="A767" s="70">
        <v>44690</v>
      </c>
      <c r="B767" s="57">
        <v>2091</v>
      </c>
      <c r="C767" s="57">
        <v>1</v>
      </c>
      <c r="D767" s="57" t="s">
        <v>175</v>
      </c>
      <c r="E767" s="57">
        <v>1</v>
      </c>
      <c r="F767" s="57">
        <v>0.62949999999999995</v>
      </c>
      <c r="G767" s="57">
        <v>0.31</v>
      </c>
      <c r="I767" s="33">
        <f t="shared" ref="I767:I1021" si="3">((F767-G767)/G767)</f>
        <v>1.0306451612903225</v>
      </c>
    </row>
    <row r="768" spans="1:9" x14ac:dyDescent="0.2">
      <c r="A768" s="70">
        <v>44706</v>
      </c>
      <c r="B768" s="57">
        <v>2381</v>
      </c>
      <c r="C768" s="57">
        <v>3</v>
      </c>
      <c r="D768" s="57" t="s">
        <v>175</v>
      </c>
      <c r="E768" s="57">
        <v>1</v>
      </c>
      <c r="F768" s="57">
        <v>0.2843</v>
      </c>
      <c r="G768" s="57">
        <v>0.14000000000000001</v>
      </c>
      <c r="H768" s="57" t="s">
        <v>193</v>
      </c>
      <c r="I768" s="33">
        <f t="shared" si="3"/>
        <v>1.0307142857142855</v>
      </c>
    </row>
    <row r="769" spans="1:9" x14ac:dyDescent="0.2">
      <c r="A769" s="70">
        <v>44706</v>
      </c>
      <c r="B769" s="57">
        <v>2369</v>
      </c>
      <c r="C769" s="57">
        <v>2</v>
      </c>
      <c r="D769" s="57" t="s">
        <v>175</v>
      </c>
      <c r="E769" s="57">
        <v>0</v>
      </c>
      <c r="F769" s="57">
        <v>0.18890000000000001</v>
      </c>
      <c r="G769" s="57">
        <v>9.2999999999999999E-2</v>
      </c>
      <c r="H769" s="57" t="s">
        <v>193</v>
      </c>
      <c r="I769" s="33">
        <f t="shared" si="3"/>
        <v>1.0311827956989248</v>
      </c>
    </row>
    <row r="770" spans="1:9" x14ac:dyDescent="0.2">
      <c r="A770" s="70">
        <v>44706</v>
      </c>
      <c r="B770" s="57">
        <v>2369</v>
      </c>
      <c r="C770" s="57">
        <v>3</v>
      </c>
      <c r="D770" s="57" t="s">
        <v>175</v>
      </c>
      <c r="E770" s="57">
        <v>0</v>
      </c>
      <c r="F770" s="57">
        <v>0.1158</v>
      </c>
      <c r="G770" s="57">
        <v>5.7000000000000002E-2</v>
      </c>
      <c r="H770" s="57" t="s">
        <v>193</v>
      </c>
      <c r="I770" s="33">
        <f t="shared" si="3"/>
        <v>1.0315789473684209</v>
      </c>
    </row>
    <row r="771" spans="1:9" x14ac:dyDescent="0.2">
      <c r="A771" s="70">
        <v>44706</v>
      </c>
      <c r="B771" s="57">
        <v>2020</v>
      </c>
      <c r="C771" s="57">
        <v>2</v>
      </c>
      <c r="D771" s="57" t="s">
        <v>175</v>
      </c>
      <c r="E771" s="57">
        <v>1</v>
      </c>
      <c r="F771" s="57">
        <v>0.31090000000000001</v>
      </c>
      <c r="G771" s="57">
        <v>0.153</v>
      </c>
      <c r="H771" s="57" t="s">
        <v>193</v>
      </c>
      <c r="I771" s="33">
        <f t="shared" si="3"/>
        <v>1.0320261437908498</v>
      </c>
    </row>
    <row r="772" spans="1:9" x14ac:dyDescent="0.2">
      <c r="A772" s="70">
        <v>44684</v>
      </c>
      <c r="B772" s="57">
        <v>2343</v>
      </c>
      <c r="C772" s="57">
        <v>3</v>
      </c>
      <c r="D772" s="57" t="s">
        <v>175</v>
      </c>
      <c r="E772" s="57">
        <v>0</v>
      </c>
      <c r="F772" s="57">
        <v>0.26540000000000002</v>
      </c>
      <c r="G772" s="57">
        <v>0.13059999999999999</v>
      </c>
      <c r="H772" s="57" t="s">
        <v>196</v>
      </c>
      <c r="I772" s="33">
        <f t="shared" si="3"/>
        <v>1.0321592649310876</v>
      </c>
    </row>
    <row r="773" spans="1:9" x14ac:dyDescent="0.2">
      <c r="A773" s="70">
        <v>44665</v>
      </c>
      <c r="B773" s="57">
        <v>2021</v>
      </c>
      <c r="C773" s="57">
        <v>1</v>
      </c>
      <c r="D773" s="57" t="s">
        <v>175</v>
      </c>
      <c r="E773" s="57">
        <v>1</v>
      </c>
      <c r="F773" s="57">
        <v>8.0500000000000002E-2</v>
      </c>
      <c r="G773" s="57">
        <v>3.9600000000000003E-2</v>
      </c>
      <c r="H773" s="57" t="s">
        <v>191</v>
      </c>
      <c r="I773" s="33">
        <f t="shared" si="3"/>
        <v>1.0328282828282827</v>
      </c>
    </row>
    <row r="774" spans="1:9" x14ac:dyDescent="0.2">
      <c r="A774" s="70">
        <v>44665</v>
      </c>
      <c r="B774" s="57">
        <v>2383</v>
      </c>
      <c r="C774" s="57">
        <v>3</v>
      </c>
      <c r="D774" s="57" t="s">
        <v>192</v>
      </c>
      <c r="E774" s="57" t="s">
        <v>60</v>
      </c>
      <c r="F774" s="57">
        <v>1.6240000000000001</v>
      </c>
      <c r="G774" s="57">
        <v>0.79830000000000001</v>
      </c>
      <c r="H774" s="57" t="s">
        <v>191</v>
      </c>
      <c r="I774" s="33">
        <f t="shared" si="3"/>
        <v>1.034322936239509</v>
      </c>
    </row>
    <row r="775" spans="1:9" x14ac:dyDescent="0.2">
      <c r="A775" s="70">
        <v>44708</v>
      </c>
      <c r="B775" s="57">
        <v>2090</v>
      </c>
      <c r="C775" s="57">
        <v>2</v>
      </c>
      <c r="D775" s="57" t="s">
        <v>175</v>
      </c>
      <c r="E775" s="57">
        <v>0</v>
      </c>
      <c r="F775" s="57">
        <v>5.7000000000000002E-2</v>
      </c>
      <c r="G775" s="57">
        <v>2.8000000000000001E-2</v>
      </c>
      <c r="H775" s="57" t="s">
        <v>193</v>
      </c>
      <c r="I775" s="33">
        <f t="shared" si="3"/>
        <v>1.0357142857142858</v>
      </c>
    </row>
    <row r="776" spans="1:9" x14ac:dyDescent="0.2">
      <c r="A776" s="70">
        <v>44665</v>
      </c>
      <c r="B776" s="57">
        <v>2027</v>
      </c>
      <c r="C776" s="57">
        <v>1</v>
      </c>
      <c r="D776" s="57" t="s">
        <v>175</v>
      </c>
      <c r="E776" s="57">
        <v>1</v>
      </c>
      <c r="F776" s="57">
        <v>0.63190000000000002</v>
      </c>
      <c r="G776" s="57">
        <v>0.31040000000000001</v>
      </c>
      <c r="H776" s="57" t="s">
        <v>191</v>
      </c>
      <c r="I776" s="33">
        <f t="shared" si="3"/>
        <v>1.0357603092783505</v>
      </c>
    </row>
    <row r="777" spans="1:9" x14ac:dyDescent="0.2">
      <c r="A777" s="70">
        <v>44665</v>
      </c>
      <c r="B777" s="57">
        <v>2025</v>
      </c>
      <c r="C777" s="57">
        <v>2</v>
      </c>
      <c r="D777" s="57" t="s">
        <v>192</v>
      </c>
      <c r="E777" s="57">
        <v>0</v>
      </c>
      <c r="F777" s="57">
        <v>0.63129999999999997</v>
      </c>
      <c r="G777" s="57">
        <v>0.31009999999999999</v>
      </c>
      <c r="H777" s="57" t="s">
        <v>191</v>
      </c>
      <c r="I777" s="33">
        <f t="shared" si="3"/>
        <v>1.0357949048693971</v>
      </c>
    </row>
    <row r="778" spans="1:9" x14ac:dyDescent="0.2">
      <c r="A778" s="70">
        <v>44690</v>
      </c>
      <c r="B778" s="57">
        <v>2093</v>
      </c>
      <c r="C778" s="57">
        <v>3</v>
      </c>
      <c r="D778" s="57" t="s">
        <v>175</v>
      </c>
      <c r="E778" s="57">
        <v>1</v>
      </c>
      <c r="F778" s="57">
        <v>0.4259</v>
      </c>
      <c r="G778" s="57">
        <v>0.2092</v>
      </c>
      <c r="I778" s="33">
        <f t="shared" si="3"/>
        <v>1.0358508604206502</v>
      </c>
    </row>
    <row r="779" spans="1:9" x14ac:dyDescent="0.2">
      <c r="A779" s="70">
        <v>44665</v>
      </c>
      <c r="B779" s="57">
        <v>2384</v>
      </c>
      <c r="C779" s="57">
        <v>1</v>
      </c>
      <c r="D779" s="57" t="s">
        <v>192</v>
      </c>
      <c r="E779" s="57">
        <v>0</v>
      </c>
      <c r="F779" s="57">
        <v>1.9089</v>
      </c>
      <c r="G779" s="57">
        <v>0.93730000000000002</v>
      </c>
      <c r="H779" s="57" t="s">
        <v>191</v>
      </c>
      <c r="I779" s="33">
        <f t="shared" si="3"/>
        <v>1.0365944734876773</v>
      </c>
    </row>
    <row r="780" spans="1:9" x14ac:dyDescent="0.2">
      <c r="A780" s="70">
        <v>44684</v>
      </c>
      <c r="B780" s="57">
        <v>2384</v>
      </c>
      <c r="C780" s="57">
        <v>1</v>
      </c>
      <c r="D780" s="57" t="s">
        <v>175</v>
      </c>
      <c r="E780" s="57">
        <v>0</v>
      </c>
      <c r="F780" s="57">
        <v>0.11310000000000001</v>
      </c>
      <c r="G780" s="57">
        <v>5.5500000000000001E-2</v>
      </c>
      <c r="H780" s="57" t="s">
        <v>196</v>
      </c>
      <c r="I780" s="33">
        <f t="shared" si="3"/>
        <v>1.0378378378378379</v>
      </c>
    </row>
    <row r="781" spans="1:9" x14ac:dyDescent="0.2">
      <c r="A781" s="70">
        <v>44665</v>
      </c>
      <c r="B781" s="57">
        <v>2026</v>
      </c>
      <c r="C781" s="57">
        <v>1</v>
      </c>
      <c r="D781" s="57" t="s">
        <v>192</v>
      </c>
      <c r="E781" s="57">
        <v>1</v>
      </c>
      <c r="F781" s="57">
        <v>1.4449000000000001</v>
      </c>
      <c r="G781" s="57">
        <v>0.70889999999999997</v>
      </c>
      <c r="H781" s="57" t="s">
        <v>191</v>
      </c>
      <c r="I781" s="33">
        <f t="shared" si="3"/>
        <v>1.0382282409366625</v>
      </c>
    </row>
    <row r="782" spans="1:9" x14ac:dyDescent="0.2">
      <c r="A782" s="70">
        <v>44685</v>
      </c>
      <c r="B782" s="57">
        <v>2370</v>
      </c>
      <c r="C782" s="57">
        <v>1</v>
      </c>
      <c r="D782" s="57" t="s">
        <v>192</v>
      </c>
      <c r="E782" s="57">
        <v>0</v>
      </c>
      <c r="F782" s="57">
        <v>0.77790000000000004</v>
      </c>
      <c r="G782" s="57">
        <v>0.38159999999999999</v>
      </c>
      <c r="I782" s="33">
        <f t="shared" si="3"/>
        <v>1.0385220125786165</v>
      </c>
    </row>
    <row r="783" spans="1:9" x14ac:dyDescent="0.2">
      <c r="A783" s="70">
        <v>44706</v>
      </c>
      <c r="B783" s="57">
        <v>2375</v>
      </c>
      <c r="C783" s="57">
        <v>2</v>
      </c>
      <c r="D783" s="57" t="s">
        <v>192</v>
      </c>
      <c r="E783" s="57">
        <v>0</v>
      </c>
      <c r="F783" s="57">
        <v>0.59730000000000005</v>
      </c>
      <c r="G783" s="57">
        <v>0.29299999999999998</v>
      </c>
      <c r="H783" s="57" t="s">
        <v>193</v>
      </c>
      <c r="I783" s="33">
        <f t="shared" si="3"/>
        <v>1.0385665529010242</v>
      </c>
    </row>
    <row r="784" spans="1:9" x14ac:dyDescent="0.2">
      <c r="A784" s="70">
        <v>44684</v>
      </c>
      <c r="B784" s="57">
        <v>2367</v>
      </c>
      <c r="C784" s="57">
        <v>2</v>
      </c>
      <c r="D784" s="57" t="s">
        <v>192</v>
      </c>
      <c r="E784" s="57">
        <v>0</v>
      </c>
      <c r="F784" s="57">
        <v>0.28620000000000001</v>
      </c>
      <c r="G784" s="57">
        <v>0.14030000000000001</v>
      </c>
      <c r="H784" s="57" t="s">
        <v>196</v>
      </c>
      <c r="I784" s="33">
        <f t="shared" si="3"/>
        <v>1.0399144689950106</v>
      </c>
    </row>
    <row r="785" spans="1:9" x14ac:dyDescent="0.2">
      <c r="A785" s="70">
        <v>44684</v>
      </c>
      <c r="B785" s="57">
        <v>2081</v>
      </c>
      <c r="C785" s="57">
        <v>1</v>
      </c>
      <c r="D785" s="57" t="s">
        <v>175</v>
      </c>
      <c r="E785" s="57">
        <v>0</v>
      </c>
      <c r="F785" s="57">
        <v>8.1000000000000003E-2</v>
      </c>
      <c r="G785" s="57">
        <v>3.9699999999999999E-2</v>
      </c>
      <c r="H785" s="57" t="s">
        <v>196</v>
      </c>
      <c r="I785" s="33">
        <f t="shared" si="3"/>
        <v>1.040302267002519</v>
      </c>
    </row>
    <row r="786" spans="1:9" x14ac:dyDescent="0.2">
      <c r="A786" s="70">
        <v>44685</v>
      </c>
      <c r="B786" s="57">
        <v>2360</v>
      </c>
      <c r="C786" s="57">
        <v>3</v>
      </c>
      <c r="D786" s="57" t="s">
        <v>175</v>
      </c>
      <c r="E786" s="57">
        <v>0</v>
      </c>
      <c r="F786" s="57">
        <v>0.25590000000000002</v>
      </c>
      <c r="G786" s="57">
        <v>0.12540000000000001</v>
      </c>
      <c r="I786" s="33">
        <f t="shared" si="3"/>
        <v>1.0406698564593302</v>
      </c>
    </row>
    <row r="787" spans="1:9" x14ac:dyDescent="0.2">
      <c r="A787" s="70">
        <v>44706</v>
      </c>
      <c r="B787" s="57">
        <v>2379</v>
      </c>
      <c r="C787" s="57">
        <v>1</v>
      </c>
      <c r="D787" s="57" t="s">
        <v>192</v>
      </c>
      <c r="E787" s="57">
        <v>0</v>
      </c>
      <c r="F787" s="57">
        <v>0.78200000000000003</v>
      </c>
      <c r="G787" s="57">
        <v>0.38300000000000001</v>
      </c>
      <c r="H787" s="57" t="s">
        <v>193</v>
      </c>
      <c r="I787" s="33">
        <f t="shared" si="3"/>
        <v>1.04177545691906</v>
      </c>
    </row>
    <row r="788" spans="1:9" x14ac:dyDescent="0.2">
      <c r="A788" s="70">
        <v>44706</v>
      </c>
      <c r="B788" s="57">
        <v>2369</v>
      </c>
      <c r="C788" s="57">
        <v>1</v>
      </c>
      <c r="D788" s="57" t="s">
        <v>175</v>
      </c>
      <c r="E788" s="57">
        <v>1</v>
      </c>
      <c r="F788" s="57">
        <v>0.1593</v>
      </c>
      <c r="G788" s="57">
        <v>7.8E-2</v>
      </c>
      <c r="H788" s="57" t="s">
        <v>193</v>
      </c>
      <c r="I788" s="33">
        <f t="shared" si="3"/>
        <v>1.0423076923076924</v>
      </c>
    </row>
    <row r="789" spans="1:9" x14ac:dyDescent="0.2">
      <c r="A789" s="70">
        <v>44706</v>
      </c>
      <c r="B789" s="57">
        <v>2378</v>
      </c>
      <c r="C789" s="57">
        <v>3</v>
      </c>
      <c r="D789" s="57" t="s">
        <v>175</v>
      </c>
      <c r="E789" s="57">
        <v>1</v>
      </c>
      <c r="F789" s="57">
        <v>9.8089999999999997E-2</v>
      </c>
      <c r="G789" s="57">
        <v>4.8000000000000001E-2</v>
      </c>
      <c r="H789" s="57" t="s">
        <v>193</v>
      </c>
      <c r="I789" s="33">
        <f t="shared" si="3"/>
        <v>1.0435416666666666</v>
      </c>
    </row>
    <row r="790" spans="1:9" x14ac:dyDescent="0.2">
      <c r="A790" s="70">
        <v>44665</v>
      </c>
      <c r="B790" s="57">
        <v>2021</v>
      </c>
      <c r="C790" s="57">
        <v>1</v>
      </c>
      <c r="D790" s="57" t="s">
        <v>192</v>
      </c>
      <c r="E790" s="57">
        <v>0</v>
      </c>
      <c r="F790" s="57">
        <v>0.97989999999999999</v>
      </c>
      <c r="G790" s="57">
        <v>0.47949999999999998</v>
      </c>
      <c r="H790" s="57" t="s">
        <v>191</v>
      </c>
      <c r="I790" s="33">
        <f t="shared" si="3"/>
        <v>1.0435870698644421</v>
      </c>
    </row>
    <row r="791" spans="1:9" x14ac:dyDescent="0.2">
      <c r="A791" s="70">
        <v>44665</v>
      </c>
      <c r="B791" s="57">
        <v>2028</v>
      </c>
      <c r="C791" s="57">
        <v>1</v>
      </c>
      <c r="D791" s="57" t="s">
        <v>192</v>
      </c>
      <c r="E791" s="57">
        <v>0</v>
      </c>
      <c r="F791" s="57">
        <v>0.61029999999999995</v>
      </c>
      <c r="G791" s="57">
        <v>0.29859999999999998</v>
      </c>
      <c r="H791" s="57" t="s">
        <v>191</v>
      </c>
      <c r="I791" s="33">
        <f t="shared" si="3"/>
        <v>1.0438713998660416</v>
      </c>
    </row>
    <row r="792" spans="1:9" x14ac:dyDescent="0.2">
      <c r="A792" s="70">
        <v>44665</v>
      </c>
      <c r="B792" s="57">
        <v>2026</v>
      </c>
      <c r="C792" s="57">
        <v>2</v>
      </c>
      <c r="D792" s="57" t="s">
        <v>192</v>
      </c>
      <c r="E792" s="57">
        <v>0</v>
      </c>
      <c r="F792" s="57">
        <v>0.81879999999999997</v>
      </c>
      <c r="G792" s="57">
        <v>0.40060000000000001</v>
      </c>
      <c r="H792" s="57" t="s">
        <v>191</v>
      </c>
      <c r="I792" s="33">
        <f t="shared" si="3"/>
        <v>1.0439340988517223</v>
      </c>
    </row>
    <row r="793" spans="1:9" x14ac:dyDescent="0.2">
      <c r="A793" s="70">
        <v>44684</v>
      </c>
      <c r="B793" s="57">
        <v>2367</v>
      </c>
      <c r="C793" s="57">
        <v>2</v>
      </c>
      <c r="D793" s="57" t="s">
        <v>175</v>
      </c>
      <c r="E793" s="57">
        <v>0</v>
      </c>
      <c r="F793" s="57">
        <v>1.8599999999999998E-2</v>
      </c>
      <c r="G793" s="57">
        <v>9.1000000000000004E-3</v>
      </c>
      <c r="H793" s="57" t="s">
        <v>196</v>
      </c>
      <c r="I793" s="33">
        <f t="shared" si="3"/>
        <v>1.0439560439560436</v>
      </c>
    </row>
    <row r="794" spans="1:9" x14ac:dyDescent="0.2">
      <c r="A794" s="70">
        <v>44706</v>
      </c>
      <c r="B794" s="57">
        <v>2025</v>
      </c>
      <c r="C794" s="57">
        <v>1</v>
      </c>
      <c r="D794" s="57" t="s">
        <v>175</v>
      </c>
      <c r="E794" s="57">
        <v>0</v>
      </c>
      <c r="F794" s="57">
        <v>0.41289999999999999</v>
      </c>
      <c r="G794" s="57">
        <v>0.20200000000000001</v>
      </c>
      <c r="H794" s="57" t="s">
        <v>193</v>
      </c>
      <c r="I794" s="33">
        <f t="shared" si="3"/>
        <v>1.0440594059405939</v>
      </c>
    </row>
    <row r="795" spans="1:9" x14ac:dyDescent="0.2">
      <c r="A795" s="70">
        <v>44685</v>
      </c>
      <c r="B795" s="57">
        <v>2370</v>
      </c>
      <c r="C795" s="57">
        <v>3</v>
      </c>
      <c r="D795" s="57" t="s">
        <v>192</v>
      </c>
      <c r="E795" s="57">
        <v>0</v>
      </c>
      <c r="F795" s="57">
        <v>0.97629999999999995</v>
      </c>
      <c r="G795" s="57">
        <v>0.47760000000000002</v>
      </c>
      <c r="I795" s="33">
        <f t="shared" si="3"/>
        <v>1.0441792294807368</v>
      </c>
    </row>
    <row r="796" spans="1:9" x14ac:dyDescent="0.2">
      <c r="A796" s="70">
        <v>44690</v>
      </c>
      <c r="B796" s="57">
        <v>2021</v>
      </c>
      <c r="C796" s="57">
        <v>1</v>
      </c>
      <c r="D796" s="57" t="s">
        <v>175</v>
      </c>
      <c r="E796" s="57">
        <v>1</v>
      </c>
      <c r="F796" s="57">
        <v>0.28160000000000002</v>
      </c>
      <c r="G796" s="57">
        <v>0.13769999999999999</v>
      </c>
      <c r="I796" s="33">
        <f t="shared" si="3"/>
        <v>1.0450254175744376</v>
      </c>
    </row>
    <row r="797" spans="1:9" x14ac:dyDescent="0.2">
      <c r="A797" s="70">
        <v>44690</v>
      </c>
      <c r="B797" s="57">
        <v>2027</v>
      </c>
      <c r="C797" s="57">
        <v>1</v>
      </c>
      <c r="D797" s="57" t="s">
        <v>175</v>
      </c>
      <c r="E797" s="57">
        <v>1</v>
      </c>
      <c r="F797" s="57">
        <v>0.43259999999999998</v>
      </c>
      <c r="G797" s="57">
        <v>0.21149999999999999</v>
      </c>
      <c r="I797" s="33">
        <f t="shared" si="3"/>
        <v>1.0453900709219859</v>
      </c>
    </row>
    <row r="798" spans="1:9" x14ac:dyDescent="0.2">
      <c r="A798" s="70">
        <v>44690</v>
      </c>
      <c r="B798" s="57">
        <v>2025</v>
      </c>
      <c r="C798" s="57">
        <v>3</v>
      </c>
      <c r="D798" s="57" t="s">
        <v>192</v>
      </c>
      <c r="E798" s="57">
        <v>0</v>
      </c>
      <c r="F798" s="57">
        <v>1.4186000000000001</v>
      </c>
      <c r="G798" s="57">
        <v>0.69350000000000001</v>
      </c>
      <c r="I798" s="33">
        <f t="shared" si="3"/>
        <v>1.0455659697188178</v>
      </c>
    </row>
    <row r="799" spans="1:9" x14ac:dyDescent="0.2">
      <c r="A799" s="70">
        <v>44690</v>
      </c>
      <c r="B799" s="57">
        <v>2091</v>
      </c>
      <c r="C799" s="57">
        <v>3</v>
      </c>
      <c r="D799" s="57" t="s">
        <v>192</v>
      </c>
      <c r="E799" s="57">
        <v>0</v>
      </c>
      <c r="F799" s="57">
        <v>1.5016</v>
      </c>
      <c r="G799" s="57">
        <v>0.73399999999999999</v>
      </c>
      <c r="I799" s="33">
        <f t="shared" si="3"/>
        <v>1.0457765667574932</v>
      </c>
    </row>
    <row r="800" spans="1:9" x14ac:dyDescent="0.2">
      <c r="A800" s="70">
        <v>44704</v>
      </c>
      <c r="B800" s="57">
        <v>2028</v>
      </c>
      <c r="C800" s="57">
        <v>2</v>
      </c>
      <c r="D800" s="57" t="s">
        <v>175</v>
      </c>
      <c r="E800" s="57">
        <v>0</v>
      </c>
      <c r="F800" s="57">
        <v>7.1400000000000005E-2</v>
      </c>
      <c r="G800" s="57">
        <v>3.49E-2</v>
      </c>
      <c r="I800" s="33">
        <f t="shared" si="3"/>
        <v>1.0458452722063039</v>
      </c>
    </row>
    <row r="801" spans="1:9" x14ac:dyDescent="0.2">
      <c r="A801" s="70">
        <v>44684</v>
      </c>
      <c r="B801" s="57">
        <v>2347</v>
      </c>
      <c r="C801" s="57">
        <v>2</v>
      </c>
      <c r="D801" s="57" t="s">
        <v>175</v>
      </c>
      <c r="E801" s="57">
        <v>0</v>
      </c>
      <c r="F801" s="57">
        <v>0.124</v>
      </c>
      <c r="G801" s="57">
        <v>6.0600000000000001E-2</v>
      </c>
      <c r="H801" s="57" t="s">
        <v>196</v>
      </c>
      <c r="I801" s="33">
        <f t="shared" si="3"/>
        <v>1.0462046204620461</v>
      </c>
    </row>
    <row r="802" spans="1:9" x14ac:dyDescent="0.2">
      <c r="A802" s="70">
        <v>44650</v>
      </c>
      <c r="B802" s="57">
        <v>2379</v>
      </c>
      <c r="C802" s="57">
        <v>2</v>
      </c>
      <c r="D802" s="57" t="s">
        <v>175</v>
      </c>
      <c r="E802" s="57">
        <v>1</v>
      </c>
      <c r="F802" s="57">
        <v>0.29880000000000001</v>
      </c>
      <c r="G802" s="57">
        <v>0.14599999999999999</v>
      </c>
      <c r="H802" s="57" t="s">
        <v>191</v>
      </c>
      <c r="I802" s="33">
        <f t="shared" si="3"/>
        <v>1.0465753424657536</v>
      </c>
    </row>
    <row r="803" spans="1:9" x14ac:dyDescent="0.2">
      <c r="A803" s="70">
        <v>44665</v>
      </c>
      <c r="B803" s="57">
        <v>2026</v>
      </c>
      <c r="C803" s="57">
        <v>2</v>
      </c>
      <c r="D803" s="57" t="s">
        <v>175</v>
      </c>
      <c r="E803" s="57">
        <v>1</v>
      </c>
      <c r="F803" s="57">
        <v>0.12690000000000001</v>
      </c>
      <c r="G803" s="57">
        <v>6.2E-2</v>
      </c>
      <c r="H803" s="57" t="s">
        <v>191</v>
      </c>
      <c r="I803" s="33">
        <f t="shared" si="3"/>
        <v>1.0467741935483874</v>
      </c>
    </row>
    <row r="804" spans="1:9" x14ac:dyDescent="0.2">
      <c r="A804" s="70">
        <v>44706</v>
      </c>
      <c r="B804" s="57">
        <v>2374</v>
      </c>
      <c r="C804" s="57">
        <v>1</v>
      </c>
      <c r="D804" s="57" t="s">
        <v>175</v>
      </c>
      <c r="E804" s="57">
        <v>0</v>
      </c>
      <c r="F804" s="57">
        <v>0.19120000000000001</v>
      </c>
      <c r="G804" s="57">
        <v>9.3399999999999997E-2</v>
      </c>
      <c r="H804" s="57" t="s">
        <v>193</v>
      </c>
      <c r="I804" s="33">
        <f t="shared" si="3"/>
        <v>1.0471092077087796</v>
      </c>
    </row>
    <row r="805" spans="1:9" x14ac:dyDescent="0.2">
      <c r="A805" s="70">
        <v>44704</v>
      </c>
      <c r="B805" s="57">
        <v>2026</v>
      </c>
      <c r="C805" s="57">
        <v>1</v>
      </c>
      <c r="D805" s="57" t="s">
        <v>175</v>
      </c>
      <c r="E805" s="57">
        <v>0</v>
      </c>
      <c r="F805" s="57">
        <v>0.1208</v>
      </c>
      <c r="G805" s="57">
        <v>5.8999999999999997E-2</v>
      </c>
      <c r="I805" s="33">
        <f t="shared" si="3"/>
        <v>1.0474576271186442</v>
      </c>
    </row>
    <row r="806" spans="1:9" x14ac:dyDescent="0.2">
      <c r="A806" s="70">
        <v>44704</v>
      </c>
      <c r="B806" s="57">
        <v>2343</v>
      </c>
      <c r="C806" s="57">
        <v>1</v>
      </c>
      <c r="D806" s="57" t="s">
        <v>175</v>
      </c>
      <c r="E806" s="57">
        <v>0</v>
      </c>
      <c r="F806" s="57">
        <v>0.1966</v>
      </c>
      <c r="G806" s="57">
        <v>9.6000000000000002E-2</v>
      </c>
      <c r="I806" s="33">
        <f t="shared" si="3"/>
        <v>1.0479166666666666</v>
      </c>
    </row>
    <row r="807" spans="1:9" x14ac:dyDescent="0.2">
      <c r="A807" s="70">
        <v>44690</v>
      </c>
      <c r="B807" s="57">
        <v>2025</v>
      </c>
      <c r="C807" s="57">
        <v>2</v>
      </c>
      <c r="D807" s="57" t="s">
        <v>175</v>
      </c>
      <c r="E807" s="57">
        <v>1</v>
      </c>
      <c r="F807" s="57">
        <v>0.34</v>
      </c>
      <c r="G807" s="57">
        <v>0.16600000000000001</v>
      </c>
      <c r="I807" s="33">
        <f t="shared" si="3"/>
        <v>1.0481927710843373</v>
      </c>
    </row>
    <row r="808" spans="1:9" x14ac:dyDescent="0.2">
      <c r="A808" s="70">
        <v>44685</v>
      </c>
      <c r="B808" s="57">
        <v>2379</v>
      </c>
      <c r="C808" s="57">
        <v>1</v>
      </c>
      <c r="D808" s="57" t="s">
        <v>175</v>
      </c>
      <c r="E808" s="57">
        <v>0</v>
      </c>
      <c r="F808" s="57">
        <v>8.9099999999999999E-2</v>
      </c>
      <c r="G808" s="57">
        <v>4.3499999999999997E-2</v>
      </c>
      <c r="I808" s="33">
        <f t="shared" si="3"/>
        <v>1.0482758620689656</v>
      </c>
    </row>
    <row r="809" spans="1:9" x14ac:dyDescent="0.2">
      <c r="A809" s="70">
        <v>44684</v>
      </c>
      <c r="B809" s="57">
        <v>2365</v>
      </c>
      <c r="C809" s="57">
        <v>2</v>
      </c>
      <c r="D809" s="57" t="s">
        <v>192</v>
      </c>
      <c r="E809" s="57">
        <v>0</v>
      </c>
      <c r="F809" s="57">
        <v>0.68410000000000004</v>
      </c>
      <c r="G809" s="57">
        <v>0.33389999999999997</v>
      </c>
      <c r="H809" s="57" t="s">
        <v>196</v>
      </c>
      <c r="I809" s="33">
        <f t="shared" si="3"/>
        <v>1.0488170110811623</v>
      </c>
    </row>
    <row r="810" spans="1:9" x14ac:dyDescent="0.2">
      <c r="A810" s="70">
        <v>44708</v>
      </c>
      <c r="B810" s="57">
        <v>2089</v>
      </c>
      <c r="C810" s="57">
        <v>3</v>
      </c>
      <c r="D810" s="57" t="s">
        <v>175</v>
      </c>
      <c r="E810" s="57">
        <v>1</v>
      </c>
      <c r="F810" s="57">
        <v>0.125</v>
      </c>
      <c r="G810" s="57">
        <v>6.0999999999999999E-2</v>
      </c>
      <c r="H810" s="57" t="s">
        <v>193</v>
      </c>
      <c r="I810" s="33">
        <f t="shared" si="3"/>
        <v>1.0491803278688525</v>
      </c>
    </row>
    <row r="811" spans="1:9" x14ac:dyDescent="0.2">
      <c r="A811" s="70">
        <v>44684</v>
      </c>
      <c r="B811" s="57">
        <v>2347</v>
      </c>
      <c r="C811" s="57">
        <v>3</v>
      </c>
      <c r="D811" s="57" t="s">
        <v>175</v>
      </c>
      <c r="E811" s="57">
        <v>0</v>
      </c>
      <c r="F811" s="57">
        <v>0.1789</v>
      </c>
      <c r="G811" s="57">
        <v>8.7300000000000003E-2</v>
      </c>
      <c r="H811" s="57" t="s">
        <v>196</v>
      </c>
      <c r="I811" s="33">
        <f t="shared" si="3"/>
        <v>1.0492554410080184</v>
      </c>
    </row>
    <row r="812" spans="1:9" x14ac:dyDescent="0.2">
      <c r="A812" s="70">
        <v>44684</v>
      </c>
      <c r="B812" s="57">
        <v>2384</v>
      </c>
      <c r="C812" s="57">
        <v>3</v>
      </c>
      <c r="D812" s="57" t="s">
        <v>175</v>
      </c>
      <c r="E812" s="57">
        <v>0</v>
      </c>
      <c r="F812" s="57">
        <v>0.1242</v>
      </c>
      <c r="G812" s="57">
        <v>6.0600000000000001E-2</v>
      </c>
      <c r="H812" s="57" t="s">
        <v>196</v>
      </c>
      <c r="I812" s="33">
        <f t="shared" si="3"/>
        <v>1.0495049504950495</v>
      </c>
    </row>
    <row r="813" spans="1:9" x14ac:dyDescent="0.2">
      <c r="A813" s="70">
        <v>44706</v>
      </c>
      <c r="B813" s="57">
        <v>2382</v>
      </c>
      <c r="C813" s="57">
        <v>1</v>
      </c>
      <c r="D813" s="57" t="s">
        <v>192</v>
      </c>
      <c r="E813" s="57">
        <v>0</v>
      </c>
      <c r="F813" s="57">
        <v>0.62509999999999999</v>
      </c>
      <c r="G813" s="57">
        <v>0.30499999999999999</v>
      </c>
      <c r="H813" s="57" t="s">
        <v>193</v>
      </c>
      <c r="I813" s="33">
        <f t="shared" si="3"/>
        <v>1.0495081967213116</v>
      </c>
    </row>
    <row r="814" spans="1:9" x14ac:dyDescent="0.2">
      <c r="A814" s="70">
        <v>44690</v>
      </c>
      <c r="B814" s="57">
        <v>2027</v>
      </c>
      <c r="C814" s="57">
        <v>2</v>
      </c>
      <c r="D814" s="57" t="s">
        <v>192</v>
      </c>
      <c r="E814" s="57">
        <v>0</v>
      </c>
      <c r="F814" s="57">
        <v>2.5129999999999999</v>
      </c>
      <c r="G814" s="57">
        <v>1.2261</v>
      </c>
      <c r="I814" s="33">
        <f t="shared" si="3"/>
        <v>1.0495881249490253</v>
      </c>
    </row>
    <row r="815" spans="1:9" x14ac:dyDescent="0.2">
      <c r="A815" s="70">
        <v>44685</v>
      </c>
      <c r="B815" s="57">
        <v>2365</v>
      </c>
      <c r="C815" s="57">
        <v>1</v>
      </c>
      <c r="D815" s="57" t="s">
        <v>192</v>
      </c>
      <c r="E815" s="57">
        <v>0</v>
      </c>
      <c r="F815" s="57">
        <v>0.77129999999999999</v>
      </c>
      <c r="G815" s="57">
        <v>0.37619999999999998</v>
      </c>
      <c r="I815" s="33">
        <f t="shared" si="3"/>
        <v>1.0502392344497609</v>
      </c>
    </row>
    <row r="816" spans="1:9" x14ac:dyDescent="0.2">
      <c r="A816" s="70">
        <v>44706</v>
      </c>
      <c r="B816" s="57">
        <v>2379</v>
      </c>
      <c r="C816" s="57">
        <v>2</v>
      </c>
      <c r="D816" s="57" t="s">
        <v>192</v>
      </c>
      <c r="E816" s="57">
        <v>0</v>
      </c>
      <c r="F816" s="57">
        <v>1.4335</v>
      </c>
      <c r="G816" s="57">
        <v>0.69899999999999995</v>
      </c>
      <c r="H816" s="57" t="s">
        <v>193</v>
      </c>
      <c r="I816" s="33">
        <f t="shared" si="3"/>
        <v>1.0507868383404866</v>
      </c>
    </row>
    <row r="817" spans="1:9" x14ac:dyDescent="0.2">
      <c r="A817" s="70">
        <v>44690</v>
      </c>
      <c r="B817" s="57">
        <v>2006</v>
      </c>
      <c r="C817" s="57">
        <v>3</v>
      </c>
      <c r="D817" s="57" t="s">
        <v>175</v>
      </c>
      <c r="E817" s="57">
        <v>1</v>
      </c>
      <c r="F817" s="57">
        <v>0.30080000000000001</v>
      </c>
      <c r="G817" s="57">
        <v>0.14660000000000001</v>
      </c>
      <c r="I817" s="33">
        <f t="shared" si="3"/>
        <v>1.0518417462482947</v>
      </c>
    </row>
    <row r="818" spans="1:9" x14ac:dyDescent="0.2">
      <c r="A818" s="70">
        <v>44650</v>
      </c>
      <c r="B818" s="57">
        <v>2369</v>
      </c>
      <c r="C818" s="57">
        <v>2</v>
      </c>
      <c r="D818" s="57" t="s">
        <v>175</v>
      </c>
      <c r="E818" s="57">
        <v>1</v>
      </c>
      <c r="F818" s="57">
        <v>6.1600000000000002E-2</v>
      </c>
      <c r="G818" s="57">
        <v>0.03</v>
      </c>
      <c r="H818" s="57" t="s">
        <v>191</v>
      </c>
      <c r="I818" s="33">
        <f t="shared" si="3"/>
        <v>1.0533333333333335</v>
      </c>
    </row>
    <row r="819" spans="1:9" x14ac:dyDescent="0.2">
      <c r="A819" s="70">
        <v>44708</v>
      </c>
      <c r="B819" s="57">
        <v>2088</v>
      </c>
      <c r="C819" s="57">
        <v>1</v>
      </c>
      <c r="D819" s="57" t="s">
        <v>175</v>
      </c>
      <c r="E819" s="57">
        <v>1</v>
      </c>
      <c r="F819" s="57">
        <v>0.15609999999999999</v>
      </c>
      <c r="G819" s="57">
        <v>7.5999999999999998E-2</v>
      </c>
      <c r="H819" s="57" t="s">
        <v>193</v>
      </c>
      <c r="I819" s="33">
        <f t="shared" si="3"/>
        <v>1.0539473684210525</v>
      </c>
    </row>
    <row r="820" spans="1:9" x14ac:dyDescent="0.2">
      <c r="A820" s="70">
        <v>44706</v>
      </c>
      <c r="B820" s="57">
        <v>2024</v>
      </c>
      <c r="C820" s="57">
        <v>3</v>
      </c>
      <c r="D820" s="57" t="s">
        <v>175</v>
      </c>
      <c r="E820" s="57">
        <v>1</v>
      </c>
      <c r="F820" s="57">
        <v>0.12939999999999999</v>
      </c>
      <c r="G820" s="57">
        <v>6.3E-2</v>
      </c>
      <c r="H820" s="57" t="s">
        <v>193</v>
      </c>
      <c r="I820" s="33">
        <f t="shared" si="3"/>
        <v>1.0539682539682538</v>
      </c>
    </row>
    <row r="821" spans="1:9" x14ac:dyDescent="0.2">
      <c r="A821" s="70">
        <v>44706</v>
      </c>
      <c r="B821" s="57">
        <v>2024</v>
      </c>
      <c r="C821" s="57">
        <v>3</v>
      </c>
      <c r="D821" s="57" t="s">
        <v>175</v>
      </c>
      <c r="E821" s="57">
        <v>1</v>
      </c>
      <c r="F821" s="57">
        <v>0.12939999999999999</v>
      </c>
      <c r="G821" s="57">
        <v>6.3E-2</v>
      </c>
      <c r="H821" s="57" t="s">
        <v>193</v>
      </c>
      <c r="I821" s="33">
        <f t="shared" si="3"/>
        <v>1.0539682539682538</v>
      </c>
    </row>
    <row r="822" spans="1:9" x14ac:dyDescent="0.2">
      <c r="A822" s="70">
        <v>44684</v>
      </c>
      <c r="B822" s="57">
        <v>2343</v>
      </c>
      <c r="C822" s="57">
        <v>2</v>
      </c>
      <c r="D822" s="57" t="s">
        <v>175</v>
      </c>
      <c r="E822" s="57">
        <v>1</v>
      </c>
      <c r="F822" s="57">
        <v>0.14710000000000001</v>
      </c>
      <c r="G822" s="57">
        <v>7.1599999999999997E-2</v>
      </c>
      <c r="H822" s="57" t="s">
        <v>196</v>
      </c>
      <c r="I822" s="33">
        <f t="shared" si="3"/>
        <v>1.054469273743017</v>
      </c>
    </row>
    <row r="823" spans="1:9" x14ac:dyDescent="0.2">
      <c r="A823" s="70">
        <v>44665</v>
      </c>
      <c r="B823" s="57">
        <v>2007</v>
      </c>
      <c r="C823" s="57">
        <v>1</v>
      </c>
      <c r="D823" s="57" t="s">
        <v>192</v>
      </c>
      <c r="E823" s="57">
        <v>0</v>
      </c>
      <c r="F823" s="57">
        <v>1.0130999999999999</v>
      </c>
      <c r="G823" s="57">
        <v>0.49280000000000002</v>
      </c>
      <c r="H823" s="57" t="s">
        <v>191</v>
      </c>
      <c r="I823" s="33">
        <f t="shared" si="3"/>
        <v>1.0558035714285712</v>
      </c>
    </row>
    <row r="824" spans="1:9" x14ac:dyDescent="0.2">
      <c r="A824" s="70">
        <v>44706</v>
      </c>
      <c r="B824" s="57">
        <v>2378</v>
      </c>
      <c r="C824" s="57">
        <v>3</v>
      </c>
      <c r="D824" s="57" t="s">
        <v>175</v>
      </c>
      <c r="E824" s="57">
        <v>0</v>
      </c>
      <c r="F824" s="57">
        <v>0.27860000000000001</v>
      </c>
      <c r="G824" s="57">
        <v>0.13550000000000001</v>
      </c>
      <c r="H824" s="57" t="s">
        <v>193</v>
      </c>
      <c r="I824" s="33">
        <f t="shared" si="3"/>
        <v>1.0560885608856088</v>
      </c>
    </row>
    <row r="825" spans="1:9" x14ac:dyDescent="0.2">
      <c r="A825" s="70">
        <v>44708</v>
      </c>
      <c r="B825" s="57">
        <v>2083</v>
      </c>
      <c r="C825" s="57">
        <v>2</v>
      </c>
      <c r="D825" s="57" t="s">
        <v>192</v>
      </c>
      <c r="E825" s="57">
        <v>0</v>
      </c>
      <c r="F825" s="57">
        <v>1.9536</v>
      </c>
      <c r="G825" s="57">
        <v>0.95</v>
      </c>
      <c r="H825" s="57" t="s">
        <v>193</v>
      </c>
      <c r="I825" s="33">
        <f t="shared" si="3"/>
        <v>1.0564210526315791</v>
      </c>
    </row>
    <row r="826" spans="1:9" x14ac:dyDescent="0.2">
      <c r="A826" s="70">
        <v>44690</v>
      </c>
      <c r="B826" s="57">
        <v>2024</v>
      </c>
      <c r="C826" s="57">
        <v>3</v>
      </c>
      <c r="D826" s="57" t="s">
        <v>192</v>
      </c>
      <c r="E826" s="57">
        <v>0</v>
      </c>
      <c r="F826" s="57">
        <v>1.8329</v>
      </c>
      <c r="G826" s="57">
        <v>0.89129999999999998</v>
      </c>
      <c r="I826" s="33">
        <f t="shared" si="3"/>
        <v>1.0564344216313251</v>
      </c>
    </row>
    <row r="827" spans="1:9" x14ac:dyDescent="0.2">
      <c r="A827" s="70">
        <v>44706</v>
      </c>
      <c r="B827" s="57">
        <v>2379</v>
      </c>
      <c r="C827" s="57">
        <v>2</v>
      </c>
      <c r="D827" s="57" t="s">
        <v>175</v>
      </c>
      <c r="E827" s="57">
        <v>1</v>
      </c>
      <c r="F827" s="57">
        <v>0.40310000000000001</v>
      </c>
      <c r="G827" s="57">
        <v>0.19600000000000001</v>
      </c>
      <c r="H827" s="57" t="s">
        <v>193</v>
      </c>
      <c r="I827" s="33">
        <f t="shared" si="3"/>
        <v>1.0566326530612244</v>
      </c>
    </row>
    <row r="828" spans="1:9" x14ac:dyDescent="0.2">
      <c r="A828" s="70">
        <v>44684</v>
      </c>
      <c r="B828" s="57">
        <v>2365</v>
      </c>
      <c r="C828" s="57">
        <v>2</v>
      </c>
      <c r="D828" s="57" t="s">
        <v>175</v>
      </c>
      <c r="E828" s="57">
        <v>0</v>
      </c>
      <c r="F828" s="57">
        <v>6.8099999999999994E-2</v>
      </c>
      <c r="G828" s="57">
        <v>3.3099999999999997E-2</v>
      </c>
      <c r="H828" s="57" t="s">
        <v>196</v>
      </c>
      <c r="I828" s="33">
        <f t="shared" si="3"/>
        <v>1.0574018126888218</v>
      </c>
    </row>
    <row r="829" spans="1:9" x14ac:dyDescent="0.2">
      <c r="A829" s="70">
        <v>44704</v>
      </c>
      <c r="B829" s="57">
        <v>2360</v>
      </c>
      <c r="C829" s="57">
        <v>1</v>
      </c>
      <c r="D829" s="57" t="s">
        <v>175</v>
      </c>
      <c r="E829" s="57">
        <v>0</v>
      </c>
      <c r="F829" s="57">
        <v>0.17080000000000001</v>
      </c>
      <c r="G829" s="57">
        <v>8.3000000000000004E-2</v>
      </c>
      <c r="I829" s="33">
        <f t="shared" si="3"/>
        <v>1.0578313253012048</v>
      </c>
    </row>
    <row r="830" spans="1:9" x14ac:dyDescent="0.2">
      <c r="A830" s="70">
        <v>44690</v>
      </c>
      <c r="B830" s="57">
        <v>2021</v>
      </c>
      <c r="C830" s="57">
        <v>2</v>
      </c>
      <c r="D830" s="57" t="s">
        <v>175</v>
      </c>
      <c r="E830" s="57">
        <v>1</v>
      </c>
      <c r="F830" s="57">
        <v>0.34110000000000001</v>
      </c>
      <c r="G830" s="57">
        <v>0.16569999999999999</v>
      </c>
      <c r="I830" s="33">
        <f t="shared" si="3"/>
        <v>1.0585395292697648</v>
      </c>
    </row>
    <row r="831" spans="1:9" x14ac:dyDescent="0.2">
      <c r="A831" s="70">
        <v>44690</v>
      </c>
      <c r="B831" s="57">
        <v>2025</v>
      </c>
      <c r="C831" s="57">
        <v>1</v>
      </c>
      <c r="D831" s="57" t="s">
        <v>175</v>
      </c>
      <c r="E831" s="57">
        <v>1</v>
      </c>
      <c r="F831" s="57">
        <v>0.31290000000000001</v>
      </c>
      <c r="G831" s="57">
        <v>0.152</v>
      </c>
      <c r="I831" s="33">
        <f t="shared" si="3"/>
        <v>1.0585526315789475</v>
      </c>
    </row>
    <row r="832" spans="1:9" x14ac:dyDescent="0.2">
      <c r="A832" s="70">
        <v>44690</v>
      </c>
      <c r="B832" s="57">
        <v>2015</v>
      </c>
      <c r="C832" s="57">
        <v>2</v>
      </c>
      <c r="D832" s="57" t="s">
        <v>192</v>
      </c>
      <c r="E832" s="57">
        <v>0</v>
      </c>
      <c r="F832" s="72">
        <v>0.70299999999999996</v>
      </c>
      <c r="G832" s="57">
        <v>0.34150000000000003</v>
      </c>
      <c r="I832" s="33">
        <f t="shared" si="3"/>
        <v>1.0585651537335283</v>
      </c>
    </row>
    <row r="833" spans="1:9" x14ac:dyDescent="0.2">
      <c r="A833" s="70">
        <v>44685</v>
      </c>
      <c r="B833" s="57">
        <v>2354</v>
      </c>
      <c r="C833" s="57">
        <v>3</v>
      </c>
      <c r="D833" s="57" t="s">
        <v>175</v>
      </c>
      <c r="E833" s="57">
        <v>1</v>
      </c>
      <c r="F833" s="57">
        <v>0.1968</v>
      </c>
      <c r="G833" s="57">
        <v>9.5600000000000004E-2</v>
      </c>
      <c r="I833" s="33">
        <f t="shared" si="3"/>
        <v>1.0585774058577406</v>
      </c>
    </row>
    <row r="834" spans="1:9" x14ac:dyDescent="0.2">
      <c r="A834" s="70">
        <v>44690</v>
      </c>
      <c r="B834" s="57">
        <v>2093</v>
      </c>
      <c r="C834" s="57">
        <v>2</v>
      </c>
      <c r="D834" s="57" t="s">
        <v>175</v>
      </c>
      <c r="E834" s="57">
        <v>1</v>
      </c>
      <c r="F834" s="57">
        <v>0.4622</v>
      </c>
      <c r="G834" s="57">
        <v>0.22450000000000001</v>
      </c>
      <c r="I834" s="33">
        <f t="shared" si="3"/>
        <v>1.0587973273942093</v>
      </c>
    </row>
    <row r="835" spans="1:9" x14ac:dyDescent="0.2">
      <c r="A835" s="70">
        <v>44708</v>
      </c>
      <c r="B835" s="57">
        <v>2086</v>
      </c>
      <c r="C835" s="57">
        <v>1</v>
      </c>
      <c r="D835" s="57" t="s">
        <v>175</v>
      </c>
      <c r="E835" s="57">
        <v>0</v>
      </c>
      <c r="F835" s="57">
        <v>0.17499999999999999</v>
      </c>
      <c r="G835" s="57">
        <v>8.5000000000000006E-2</v>
      </c>
      <c r="H835" s="57" t="s">
        <v>193</v>
      </c>
      <c r="I835" s="33">
        <f t="shared" si="3"/>
        <v>1.0588235294117645</v>
      </c>
    </row>
    <row r="836" spans="1:9" x14ac:dyDescent="0.2">
      <c r="A836" s="70">
        <v>44690</v>
      </c>
      <c r="B836" s="57">
        <v>2024</v>
      </c>
      <c r="C836" s="57">
        <v>2</v>
      </c>
      <c r="D836" s="57" t="s">
        <v>192</v>
      </c>
      <c r="E836" s="57">
        <v>0</v>
      </c>
      <c r="F836" s="57">
        <v>1.1177999999999999</v>
      </c>
      <c r="G836" s="57">
        <v>0.54290000000000005</v>
      </c>
      <c r="I836" s="33">
        <f t="shared" si="3"/>
        <v>1.0589427150488115</v>
      </c>
    </row>
    <row r="837" spans="1:9" x14ac:dyDescent="0.2">
      <c r="A837" s="70">
        <v>44706</v>
      </c>
      <c r="B837" s="57">
        <v>2372</v>
      </c>
      <c r="C837" s="57">
        <v>1</v>
      </c>
      <c r="D837" s="57" t="s">
        <v>175</v>
      </c>
      <c r="E837" s="57">
        <v>0</v>
      </c>
      <c r="F837" s="57">
        <v>0.1351</v>
      </c>
      <c r="G837" s="57">
        <v>6.5600000000000006E-2</v>
      </c>
      <c r="H837" s="57" t="s">
        <v>193</v>
      </c>
      <c r="I837" s="33">
        <f t="shared" si="3"/>
        <v>1.059451219512195</v>
      </c>
    </row>
    <row r="838" spans="1:9" x14ac:dyDescent="0.2">
      <c r="A838" s="70">
        <v>44690</v>
      </c>
      <c r="B838" s="57">
        <v>2086</v>
      </c>
      <c r="C838" s="57">
        <v>3</v>
      </c>
      <c r="D838" s="57" t="s">
        <v>192</v>
      </c>
      <c r="E838" s="57">
        <v>0</v>
      </c>
      <c r="F838" s="57">
        <v>1.4232</v>
      </c>
      <c r="G838" s="72">
        <v>0.69099999999999995</v>
      </c>
      <c r="I838" s="33">
        <f t="shared" si="3"/>
        <v>1.0596237337192476</v>
      </c>
    </row>
    <row r="839" spans="1:9" x14ac:dyDescent="0.2">
      <c r="A839" s="70">
        <v>44706</v>
      </c>
      <c r="B839" s="57">
        <v>2382</v>
      </c>
      <c r="C839" s="57">
        <v>3</v>
      </c>
      <c r="D839" s="57" t="s">
        <v>175</v>
      </c>
      <c r="E839" s="57">
        <v>1</v>
      </c>
      <c r="F839" s="57">
        <v>7.4999999999999997E-2</v>
      </c>
      <c r="G839" s="57">
        <v>3.6400000000000002E-2</v>
      </c>
      <c r="H839" s="57" t="s">
        <v>193</v>
      </c>
      <c r="I839" s="33">
        <f t="shared" si="3"/>
        <v>1.0604395604395602</v>
      </c>
    </row>
    <row r="840" spans="1:9" x14ac:dyDescent="0.2">
      <c r="A840" s="70">
        <v>44690</v>
      </c>
      <c r="B840" s="57">
        <v>2090</v>
      </c>
      <c r="C840" s="57">
        <v>2</v>
      </c>
      <c r="D840" s="57" t="s">
        <v>175</v>
      </c>
      <c r="E840" s="57">
        <v>1</v>
      </c>
      <c r="F840" s="57">
        <v>0.12939999999999999</v>
      </c>
      <c r="G840" s="57">
        <v>6.2799999999999995E-2</v>
      </c>
      <c r="I840" s="33">
        <f t="shared" si="3"/>
        <v>1.0605095541401273</v>
      </c>
    </row>
    <row r="841" spans="1:9" x14ac:dyDescent="0.2">
      <c r="A841" s="70">
        <v>44704</v>
      </c>
      <c r="B841" s="57">
        <v>2026</v>
      </c>
      <c r="C841" s="57">
        <v>3</v>
      </c>
      <c r="D841" s="57" t="s">
        <v>175</v>
      </c>
      <c r="E841" s="57">
        <v>0</v>
      </c>
      <c r="F841" s="57">
        <v>0.32650000000000001</v>
      </c>
      <c r="G841" s="57">
        <v>0.15840000000000001</v>
      </c>
      <c r="I841" s="33">
        <f t="shared" si="3"/>
        <v>1.0612373737373737</v>
      </c>
    </row>
    <row r="842" spans="1:9" x14ac:dyDescent="0.2">
      <c r="A842" s="70">
        <v>44690</v>
      </c>
      <c r="B842" s="57">
        <v>2020</v>
      </c>
      <c r="C842" s="57">
        <v>1</v>
      </c>
      <c r="D842" s="57" t="s">
        <v>175</v>
      </c>
      <c r="E842" s="57">
        <v>1</v>
      </c>
      <c r="F842" s="57">
        <v>0.30940000000000001</v>
      </c>
      <c r="G842" s="57">
        <v>0.15</v>
      </c>
      <c r="I842" s="33">
        <f t="shared" si="3"/>
        <v>1.0626666666666669</v>
      </c>
    </row>
    <row r="843" spans="1:9" x14ac:dyDescent="0.2">
      <c r="A843" s="70">
        <v>44665</v>
      </c>
      <c r="B843" s="57">
        <v>2384</v>
      </c>
      <c r="C843" s="57">
        <v>3</v>
      </c>
      <c r="D843" s="57" t="s">
        <v>192</v>
      </c>
      <c r="E843" s="57">
        <v>0</v>
      </c>
      <c r="F843" s="57">
        <v>1.651</v>
      </c>
      <c r="G843" s="57">
        <v>0.8004</v>
      </c>
      <c r="H843" s="57" t="s">
        <v>191</v>
      </c>
      <c r="I843" s="33">
        <f t="shared" si="3"/>
        <v>1.0627186406796603</v>
      </c>
    </row>
    <row r="844" spans="1:9" x14ac:dyDescent="0.2">
      <c r="A844" s="70">
        <v>44708</v>
      </c>
      <c r="B844" s="57">
        <v>2088</v>
      </c>
      <c r="C844" s="57">
        <v>3</v>
      </c>
      <c r="D844" s="57" t="s">
        <v>192</v>
      </c>
      <c r="E844" s="57">
        <v>0</v>
      </c>
      <c r="F844" s="57">
        <v>1.05</v>
      </c>
      <c r="G844" s="57">
        <v>0.50900000000000001</v>
      </c>
      <c r="H844" s="57" t="s">
        <v>193</v>
      </c>
      <c r="I844" s="33">
        <f t="shared" si="3"/>
        <v>1.0628683693516701</v>
      </c>
    </row>
    <row r="845" spans="1:9" x14ac:dyDescent="0.2">
      <c r="A845" s="70">
        <v>44706</v>
      </c>
      <c r="B845" s="57">
        <v>2024</v>
      </c>
      <c r="C845" s="57">
        <v>1</v>
      </c>
      <c r="D845" s="57" t="s">
        <v>175</v>
      </c>
      <c r="E845" s="57">
        <v>0</v>
      </c>
      <c r="F845" s="57">
        <v>0.10730000000000001</v>
      </c>
      <c r="G845" s="57">
        <v>5.1999999999999998E-2</v>
      </c>
      <c r="H845" s="57" t="s">
        <v>193</v>
      </c>
      <c r="I845" s="33">
        <f t="shared" si="3"/>
        <v>1.0634615384615387</v>
      </c>
    </row>
    <row r="846" spans="1:9" x14ac:dyDescent="0.2">
      <c r="A846" s="70">
        <v>44685</v>
      </c>
      <c r="B846" s="57">
        <v>2383</v>
      </c>
      <c r="C846" s="57">
        <v>2</v>
      </c>
      <c r="D846" s="57" t="s">
        <v>175</v>
      </c>
      <c r="E846" s="57">
        <v>0</v>
      </c>
      <c r="F846" s="57">
        <v>0.10630000000000001</v>
      </c>
      <c r="G846" s="57">
        <v>5.1499999999999997E-2</v>
      </c>
      <c r="I846" s="33">
        <f t="shared" si="3"/>
        <v>1.0640776699029129</v>
      </c>
    </row>
    <row r="847" spans="1:9" x14ac:dyDescent="0.2">
      <c r="A847" s="70">
        <v>44665</v>
      </c>
      <c r="B847" s="57">
        <v>2026</v>
      </c>
      <c r="C847" s="57">
        <v>1</v>
      </c>
      <c r="D847" s="57" t="s">
        <v>175</v>
      </c>
      <c r="E847" s="57">
        <v>1</v>
      </c>
      <c r="F847" s="57">
        <v>0.26629999999999998</v>
      </c>
      <c r="G847" s="57">
        <v>0.129</v>
      </c>
      <c r="H847" s="57" t="s">
        <v>191</v>
      </c>
      <c r="I847" s="33">
        <f t="shared" si="3"/>
        <v>1.0643410852713175</v>
      </c>
    </row>
    <row r="848" spans="1:9" x14ac:dyDescent="0.2">
      <c r="A848" s="70">
        <v>44650</v>
      </c>
      <c r="B848" s="57">
        <v>2009</v>
      </c>
      <c r="C848" s="57">
        <v>1</v>
      </c>
      <c r="D848" s="57" t="s">
        <v>175</v>
      </c>
      <c r="E848" s="57">
        <v>1</v>
      </c>
      <c r="F848" s="57">
        <v>0.47920000000000001</v>
      </c>
      <c r="G848" s="57">
        <v>0.23200000000000001</v>
      </c>
      <c r="H848" s="57" t="s">
        <v>191</v>
      </c>
      <c r="I848" s="33">
        <f t="shared" si="3"/>
        <v>1.0655172413793104</v>
      </c>
    </row>
    <row r="849" spans="1:9" x14ac:dyDescent="0.2">
      <c r="A849" s="70">
        <v>44665</v>
      </c>
      <c r="B849" s="57">
        <v>2012</v>
      </c>
      <c r="C849" s="57">
        <v>2</v>
      </c>
      <c r="D849" s="57" t="s">
        <v>175</v>
      </c>
      <c r="E849" s="57">
        <v>1</v>
      </c>
      <c r="F849" s="57">
        <v>0.34</v>
      </c>
      <c r="G849" s="57">
        <v>0.1646</v>
      </c>
      <c r="H849" s="57" t="s">
        <v>191</v>
      </c>
      <c r="I849" s="33">
        <f t="shared" si="3"/>
        <v>1.0656136087484813</v>
      </c>
    </row>
    <row r="850" spans="1:9" x14ac:dyDescent="0.2">
      <c r="A850" s="70">
        <v>44704</v>
      </c>
      <c r="B850" s="57">
        <v>2360</v>
      </c>
      <c r="C850" s="57">
        <v>2</v>
      </c>
      <c r="D850" s="57" t="s">
        <v>192</v>
      </c>
      <c r="E850" s="57">
        <v>0</v>
      </c>
      <c r="F850" s="57">
        <v>2.0733000000000001</v>
      </c>
      <c r="G850" s="57">
        <v>1.0037</v>
      </c>
      <c r="I850" s="33">
        <f t="shared" si="3"/>
        <v>1.0656570688452724</v>
      </c>
    </row>
    <row r="851" spans="1:9" x14ac:dyDescent="0.2">
      <c r="A851" s="70">
        <v>44706</v>
      </c>
      <c r="B851" s="57">
        <v>2369</v>
      </c>
      <c r="C851" s="57">
        <v>3</v>
      </c>
      <c r="D851" s="57" t="s">
        <v>175</v>
      </c>
      <c r="E851" s="57">
        <v>1</v>
      </c>
      <c r="F851" s="57">
        <v>8.4699999999999998E-2</v>
      </c>
      <c r="G851" s="57">
        <v>4.1000000000000002E-2</v>
      </c>
      <c r="H851" s="57" t="s">
        <v>193</v>
      </c>
      <c r="I851" s="33">
        <f t="shared" si="3"/>
        <v>1.0658536585365852</v>
      </c>
    </row>
    <row r="852" spans="1:9" x14ac:dyDescent="0.2">
      <c r="A852" s="70">
        <v>44684</v>
      </c>
      <c r="B852" s="57">
        <v>2367</v>
      </c>
      <c r="C852" s="57">
        <v>1</v>
      </c>
      <c r="D852" s="57" t="s">
        <v>175</v>
      </c>
      <c r="E852" s="57">
        <v>0</v>
      </c>
      <c r="F852" s="57">
        <v>4.6899999999999997E-2</v>
      </c>
      <c r="G852" s="57">
        <v>2.2700000000000001E-2</v>
      </c>
      <c r="H852" s="57" t="s">
        <v>196</v>
      </c>
      <c r="I852" s="33">
        <f t="shared" si="3"/>
        <v>1.0660792951541849</v>
      </c>
    </row>
    <row r="853" spans="1:9" x14ac:dyDescent="0.2">
      <c r="A853" s="70">
        <v>44706</v>
      </c>
      <c r="B853" s="57">
        <v>2025</v>
      </c>
      <c r="C853" s="57">
        <v>2</v>
      </c>
      <c r="D853" s="57" t="s">
        <v>175</v>
      </c>
      <c r="E853" s="57">
        <v>0</v>
      </c>
      <c r="F853" s="57">
        <v>0.23760000000000001</v>
      </c>
      <c r="G853" s="57">
        <v>0.115</v>
      </c>
      <c r="H853" s="57" t="s">
        <v>193</v>
      </c>
      <c r="I853" s="33">
        <f t="shared" si="3"/>
        <v>1.066086956521739</v>
      </c>
    </row>
    <row r="854" spans="1:9" x14ac:dyDescent="0.2">
      <c r="A854" s="70">
        <v>44684</v>
      </c>
      <c r="B854" s="57">
        <v>2081</v>
      </c>
      <c r="C854" s="57">
        <v>2</v>
      </c>
      <c r="D854" s="57" t="s">
        <v>175</v>
      </c>
      <c r="E854" s="57">
        <v>0</v>
      </c>
      <c r="F854" s="57">
        <v>7.1499999999999994E-2</v>
      </c>
      <c r="G854" s="57">
        <v>3.4599999999999999E-2</v>
      </c>
      <c r="H854" s="57" t="s">
        <v>196</v>
      </c>
      <c r="I854" s="33">
        <f t="shared" si="3"/>
        <v>1.0664739884393062</v>
      </c>
    </row>
    <row r="855" spans="1:9" x14ac:dyDescent="0.2">
      <c r="A855" s="70">
        <v>44665</v>
      </c>
      <c r="B855" s="57">
        <v>2020</v>
      </c>
      <c r="C855" s="57">
        <v>2</v>
      </c>
      <c r="D855" s="57" t="s">
        <v>192</v>
      </c>
      <c r="E855" s="57">
        <v>0</v>
      </c>
      <c r="F855" s="57">
        <v>0.6946</v>
      </c>
      <c r="G855" s="57">
        <v>0.33610000000000001</v>
      </c>
      <c r="H855" s="57" t="s">
        <v>191</v>
      </c>
      <c r="I855" s="33">
        <f t="shared" si="3"/>
        <v>1.0666468313002082</v>
      </c>
    </row>
    <row r="856" spans="1:9" x14ac:dyDescent="0.2">
      <c r="A856" s="70">
        <v>44690</v>
      </c>
      <c r="B856" s="57">
        <v>2029</v>
      </c>
      <c r="C856" s="57">
        <v>3</v>
      </c>
      <c r="D856" s="57" t="s">
        <v>175</v>
      </c>
      <c r="E856" s="57">
        <v>0</v>
      </c>
      <c r="F856" s="57">
        <v>0.1116</v>
      </c>
      <c r="G856" s="72">
        <v>5.3999999999999999E-2</v>
      </c>
      <c r="I856" s="33">
        <f t="shared" si="3"/>
        <v>1.0666666666666669</v>
      </c>
    </row>
    <row r="857" spans="1:9" x14ac:dyDescent="0.2">
      <c r="A857" s="70">
        <v>44704</v>
      </c>
      <c r="B857" s="57">
        <v>2365</v>
      </c>
      <c r="C857" s="57">
        <v>2</v>
      </c>
      <c r="D857" s="57" t="s">
        <v>175</v>
      </c>
      <c r="E857" s="57">
        <v>1</v>
      </c>
      <c r="F857" s="57">
        <v>9.5100000000000004E-2</v>
      </c>
      <c r="G857" s="57">
        <v>4.5999999999999999E-2</v>
      </c>
      <c r="I857" s="33">
        <f t="shared" si="3"/>
        <v>1.0673913043478263</v>
      </c>
    </row>
    <row r="858" spans="1:9" x14ac:dyDescent="0.2">
      <c r="A858" s="70">
        <v>44690</v>
      </c>
      <c r="B858" s="57">
        <v>2025</v>
      </c>
      <c r="C858" s="57">
        <v>2</v>
      </c>
      <c r="D858" s="57" t="s">
        <v>192</v>
      </c>
      <c r="E858" s="57">
        <v>0</v>
      </c>
      <c r="F858" s="57">
        <v>1.2847</v>
      </c>
      <c r="G858" s="57">
        <v>0.62119999999999997</v>
      </c>
      <c r="I858" s="33">
        <f t="shared" si="3"/>
        <v>1.06809401159047</v>
      </c>
    </row>
    <row r="859" spans="1:9" x14ac:dyDescent="0.2">
      <c r="A859" s="70">
        <v>44690</v>
      </c>
      <c r="B859" s="57">
        <v>2027</v>
      </c>
      <c r="C859" s="57">
        <v>3</v>
      </c>
      <c r="D859" s="57" t="s">
        <v>192</v>
      </c>
      <c r="E859" s="57">
        <v>0</v>
      </c>
      <c r="F859" s="57">
        <v>2.363</v>
      </c>
      <c r="G859" s="57">
        <v>1.1424000000000001</v>
      </c>
      <c r="I859" s="33">
        <f t="shared" si="3"/>
        <v>1.0684523809523807</v>
      </c>
    </row>
    <row r="860" spans="1:9" x14ac:dyDescent="0.2">
      <c r="A860" s="70">
        <v>44690</v>
      </c>
      <c r="B860" s="57">
        <v>2006</v>
      </c>
      <c r="C860" s="57">
        <v>2</v>
      </c>
      <c r="D860" s="57" t="s">
        <v>192</v>
      </c>
      <c r="E860" s="57">
        <v>0</v>
      </c>
      <c r="F860" s="57">
        <v>1.2377</v>
      </c>
      <c r="G860" s="57">
        <v>0.59830000000000005</v>
      </c>
      <c r="I860" s="33">
        <f t="shared" si="3"/>
        <v>1.0686946347985959</v>
      </c>
    </row>
    <row r="861" spans="1:9" x14ac:dyDescent="0.2">
      <c r="A861" s="70">
        <v>44662</v>
      </c>
      <c r="B861" s="57">
        <v>2088</v>
      </c>
      <c r="C861" s="57">
        <v>2</v>
      </c>
      <c r="D861" s="57" t="s">
        <v>175</v>
      </c>
      <c r="E861" s="57">
        <v>1</v>
      </c>
      <c r="F861" s="57">
        <v>0.17949999999999999</v>
      </c>
      <c r="G861" s="57">
        <v>8.6699999999999999E-2</v>
      </c>
      <c r="H861" s="57" t="s">
        <v>191</v>
      </c>
      <c r="I861" s="33">
        <f t="shared" si="3"/>
        <v>1.0703575547866204</v>
      </c>
    </row>
    <row r="862" spans="1:9" x14ac:dyDescent="0.2">
      <c r="A862" s="70">
        <v>44690</v>
      </c>
      <c r="B862" s="57">
        <v>2007</v>
      </c>
      <c r="C862" s="57">
        <v>2</v>
      </c>
      <c r="D862" s="57" t="s">
        <v>175</v>
      </c>
      <c r="E862" s="57">
        <v>0</v>
      </c>
      <c r="F862" s="57">
        <v>0.14499999999999999</v>
      </c>
      <c r="G862" s="57">
        <v>7.0000000000000007E-2</v>
      </c>
      <c r="I862" s="33">
        <f t="shared" si="3"/>
        <v>1.0714285714285712</v>
      </c>
    </row>
    <row r="863" spans="1:9" x14ac:dyDescent="0.2">
      <c r="A863" s="70">
        <v>44708</v>
      </c>
      <c r="B863" s="57">
        <v>2015</v>
      </c>
      <c r="C863" s="57">
        <v>1</v>
      </c>
      <c r="D863" s="57" t="s">
        <v>175</v>
      </c>
      <c r="E863" s="57">
        <v>0</v>
      </c>
      <c r="F863" s="57">
        <v>0.14299999999999999</v>
      </c>
      <c r="G863" s="57">
        <v>6.9000000000000006E-2</v>
      </c>
      <c r="H863" s="57" t="s">
        <v>193</v>
      </c>
      <c r="I863" s="33">
        <f t="shared" si="3"/>
        <v>1.0724637681159417</v>
      </c>
    </row>
    <row r="864" spans="1:9" x14ac:dyDescent="0.2">
      <c r="A864" s="70">
        <v>44706</v>
      </c>
      <c r="B864" s="57">
        <v>2370</v>
      </c>
      <c r="C864" s="57">
        <v>2</v>
      </c>
      <c r="D864" s="57" t="s">
        <v>175</v>
      </c>
      <c r="E864" s="57">
        <v>1</v>
      </c>
      <c r="F864" s="57">
        <v>0.1656</v>
      </c>
      <c r="G864" s="57">
        <v>7.9899999999999999E-2</v>
      </c>
      <c r="H864" s="57" t="s">
        <v>193</v>
      </c>
      <c r="I864" s="33">
        <f t="shared" si="3"/>
        <v>1.0725907384230289</v>
      </c>
    </row>
    <row r="865" spans="1:9" x14ac:dyDescent="0.2">
      <c r="A865" s="70">
        <v>44690</v>
      </c>
      <c r="B865" s="57">
        <v>2031</v>
      </c>
      <c r="C865" s="57">
        <v>1</v>
      </c>
      <c r="D865" s="57" t="s">
        <v>175</v>
      </c>
      <c r="E865" s="57">
        <v>1</v>
      </c>
      <c r="F865" s="57">
        <v>0.15340000000000001</v>
      </c>
      <c r="G865" s="57">
        <v>7.3999999999999996E-2</v>
      </c>
      <c r="I865" s="33">
        <f t="shared" si="3"/>
        <v>1.0729729729729731</v>
      </c>
    </row>
    <row r="866" spans="1:9" x14ac:dyDescent="0.2">
      <c r="A866" s="70">
        <v>44685</v>
      </c>
      <c r="B866" s="57">
        <v>2345</v>
      </c>
      <c r="C866" s="57">
        <v>3</v>
      </c>
      <c r="D866" s="57" t="s">
        <v>192</v>
      </c>
      <c r="E866" s="57">
        <v>1</v>
      </c>
      <c r="F866" s="57">
        <v>0.97940000000000005</v>
      </c>
      <c r="G866" s="57">
        <v>0.4723</v>
      </c>
      <c r="I866" s="33">
        <f t="shared" si="3"/>
        <v>1.0736819817912346</v>
      </c>
    </row>
    <row r="867" spans="1:9" x14ac:dyDescent="0.2">
      <c r="A867" s="70">
        <v>44708</v>
      </c>
      <c r="B867" s="57">
        <v>2092</v>
      </c>
      <c r="C867" s="57">
        <v>1</v>
      </c>
      <c r="D867" s="57" t="s">
        <v>175</v>
      </c>
      <c r="E867" s="57">
        <v>1</v>
      </c>
      <c r="F867" s="57">
        <v>0.253</v>
      </c>
      <c r="G867" s="57">
        <v>0.122</v>
      </c>
      <c r="H867" s="57" t="s">
        <v>193</v>
      </c>
      <c r="I867" s="33">
        <f t="shared" si="3"/>
        <v>1.0737704918032787</v>
      </c>
    </row>
    <row r="868" spans="1:9" x14ac:dyDescent="0.2">
      <c r="A868" s="70">
        <v>44708</v>
      </c>
      <c r="B868" s="57">
        <v>2093</v>
      </c>
      <c r="C868" s="57">
        <v>2</v>
      </c>
      <c r="D868" s="57" t="s">
        <v>175</v>
      </c>
      <c r="E868" s="57">
        <v>0</v>
      </c>
      <c r="F868" s="57">
        <v>5.6000000000000001E-2</v>
      </c>
      <c r="G868" s="57">
        <v>2.7E-2</v>
      </c>
      <c r="H868" s="57" t="s">
        <v>193</v>
      </c>
      <c r="I868" s="33">
        <f t="shared" si="3"/>
        <v>1.0740740740740742</v>
      </c>
    </row>
    <row r="869" spans="1:9" x14ac:dyDescent="0.2">
      <c r="A869" s="70">
        <v>44665</v>
      </c>
      <c r="B869" s="57">
        <v>2365</v>
      </c>
      <c r="C869" s="57">
        <v>1</v>
      </c>
      <c r="D869" s="57" t="s">
        <v>175</v>
      </c>
      <c r="E869" s="57">
        <v>1</v>
      </c>
      <c r="F869" s="57">
        <v>0.23139999999999999</v>
      </c>
      <c r="G869" s="57">
        <v>0.1115</v>
      </c>
      <c r="H869" s="57" t="s">
        <v>191</v>
      </c>
      <c r="I869" s="33">
        <f t="shared" si="3"/>
        <v>1.0753363228699551</v>
      </c>
    </row>
    <row r="870" spans="1:9" x14ac:dyDescent="0.2">
      <c r="A870" s="70">
        <v>44704</v>
      </c>
      <c r="B870" s="57">
        <v>2365</v>
      </c>
      <c r="C870" s="57">
        <v>3</v>
      </c>
      <c r="D870" s="57" t="s">
        <v>175</v>
      </c>
      <c r="E870" s="57">
        <v>0</v>
      </c>
      <c r="F870" s="57">
        <v>5.1900000000000002E-2</v>
      </c>
      <c r="G870" s="57">
        <v>2.5000000000000001E-2</v>
      </c>
      <c r="I870" s="33">
        <f t="shared" si="3"/>
        <v>1.0759999999999998</v>
      </c>
    </row>
    <row r="871" spans="1:9" x14ac:dyDescent="0.2">
      <c r="A871" s="70">
        <v>44665</v>
      </c>
      <c r="B871" s="57">
        <v>2027</v>
      </c>
      <c r="C871" s="57">
        <v>1</v>
      </c>
      <c r="D871" s="57" t="s">
        <v>192</v>
      </c>
      <c r="E871" s="57">
        <v>0</v>
      </c>
      <c r="F871" s="57">
        <v>2.8075999999999999</v>
      </c>
      <c r="G871" s="57">
        <v>1.3515999999999999</v>
      </c>
      <c r="H871" s="57" t="s">
        <v>191</v>
      </c>
      <c r="I871" s="33">
        <f t="shared" si="3"/>
        <v>1.077241787511098</v>
      </c>
    </row>
    <row r="872" spans="1:9" x14ac:dyDescent="0.2">
      <c r="A872" s="70">
        <v>44685</v>
      </c>
      <c r="B872" s="57">
        <v>2370</v>
      </c>
      <c r="C872" s="57">
        <v>3</v>
      </c>
      <c r="D872" s="57" t="s">
        <v>175</v>
      </c>
      <c r="E872" s="57">
        <v>1</v>
      </c>
      <c r="F872" s="57">
        <v>0.23960000000000001</v>
      </c>
      <c r="G872" s="57">
        <v>0.1153</v>
      </c>
      <c r="I872" s="33">
        <f t="shared" si="3"/>
        <v>1.0780572419774501</v>
      </c>
    </row>
    <row r="873" spans="1:9" x14ac:dyDescent="0.2">
      <c r="A873" s="70">
        <v>44706</v>
      </c>
      <c r="B873" s="57">
        <v>2375</v>
      </c>
      <c r="C873" s="57">
        <v>2</v>
      </c>
      <c r="D873" s="57" t="s">
        <v>175</v>
      </c>
      <c r="E873" s="57">
        <v>1</v>
      </c>
      <c r="F873" s="57">
        <v>0.32629999999999998</v>
      </c>
      <c r="G873" s="57">
        <v>0.157</v>
      </c>
      <c r="H873" s="57" t="s">
        <v>193</v>
      </c>
      <c r="I873" s="33">
        <f t="shared" si="3"/>
        <v>1.0783439490445859</v>
      </c>
    </row>
    <row r="874" spans="1:9" x14ac:dyDescent="0.2">
      <c r="A874" s="70">
        <v>44665</v>
      </c>
      <c r="B874" s="57">
        <v>2011</v>
      </c>
      <c r="C874" s="57">
        <v>1</v>
      </c>
      <c r="D874" s="57" t="s">
        <v>192</v>
      </c>
      <c r="E874" s="57">
        <v>0</v>
      </c>
      <c r="F874" s="57">
        <v>1.2607999999999999</v>
      </c>
      <c r="G874" s="57">
        <v>0.60660000000000003</v>
      </c>
      <c r="H874" s="57" t="s">
        <v>191</v>
      </c>
      <c r="I874" s="33">
        <f t="shared" si="3"/>
        <v>1.0784701615562147</v>
      </c>
    </row>
    <row r="875" spans="1:9" x14ac:dyDescent="0.2">
      <c r="A875" s="70">
        <v>44708</v>
      </c>
      <c r="B875" s="57">
        <v>2088</v>
      </c>
      <c r="C875" s="57">
        <v>3</v>
      </c>
      <c r="D875" s="57" t="s">
        <v>175</v>
      </c>
      <c r="E875" s="57">
        <v>1</v>
      </c>
      <c r="F875" s="57">
        <v>0.17460000000000001</v>
      </c>
      <c r="G875" s="57">
        <v>8.4000000000000005E-2</v>
      </c>
      <c r="H875" s="57" t="s">
        <v>193</v>
      </c>
      <c r="I875" s="33">
        <f t="shared" si="3"/>
        <v>1.0785714285714285</v>
      </c>
    </row>
    <row r="876" spans="1:9" x14ac:dyDescent="0.2">
      <c r="A876" s="70">
        <v>44706</v>
      </c>
      <c r="B876" s="57">
        <v>2381</v>
      </c>
      <c r="C876" s="57">
        <v>2</v>
      </c>
      <c r="D876" s="57" t="s">
        <v>175</v>
      </c>
      <c r="E876" s="57">
        <v>0</v>
      </c>
      <c r="F876" s="57">
        <v>0.1082</v>
      </c>
      <c r="G876" s="57">
        <v>5.1999999999999998E-2</v>
      </c>
      <c r="H876" s="57" t="s">
        <v>193</v>
      </c>
      <c r="I876" s="33">
        <f t="shared" si="3"/>
        <v>1.0807692307692309</v>
      </c>
    </row>
    <row r="877" spans="1:9" x14ac:dyDescent="0.2">
      <c r="A877" s="70">
        <v>44685</v>
      </c>
      <c r="B877" s="57">
        <v>2011</v>
      </c>
      <c r="C877" s="57">
        <v>1</v>
      </c>
      <c r="D877" s="57" t="s">
        <v>175</v>
      </c>
      <c r="E877" s="57">
        <v>1</v>
      </c>
      <c r="F877" s="57">
        <v>0.1023</v>
      </c>
      <c r="G877" s="57">
        <v>4.9099999999999998E-2</v>
      </c>
      <c r="I877" s="33">
        <f t="shared" si="3"/>
        <v>1.0835030549898168</v>
      </c>
    </row>
    <row r="878" spans="1:9" x14ac:dyDescent="0.2">
      <c r="A878" s="70">
        <v>44690</v>
      </c>
      <c r="B878" s="57">
        <v>2022</v>
      </c>
      <c r="C878" s="57">
        <v>1</v>
      </c>
      <c r="D878" s="57" t="s">
        <v>175</v>
      </c>
      <c r="E878" s="57">
        <v>0</v>
      </c>
      <c r="F878" s="57">
        <v>7.4800000000000005E-2</v>
      </c>
      <c r="G878" s="57">
        <v>3.5900000000000001E-2</v>
      </c>
      <c r="I878" s="33">
        <f t="shared" si="3"/>
        <v>1.0835654596100279</v>
      </c>
    </row>
    <row r="879" spans="1:9" x14ac:dyDescent="0.2">
      <c r="A879" s="70">
        <v>44665</v>
      </c>
      <c r="B879" s="57">
        <v>2020</v>
      </c>
      <c r="C879" s="57">
        <v>1</v>
      </c>
      <c r="D879" s="57" t="s">
        <v>175</v>
      </c>
      <c r="E879" s="57">
        <v>1</v>
      </c>
      <c r="F879" s="57">
        <v>0.3115</v>
      </c>
      <c r="G879" s="57">
        <v>0.14949999999999999</v>
      </c>
      <c r="H879" s="57" t="s">
        <v>191</v>
      </c>
      <c r="I879" s="33">
        <f t="shared" si="3"/>
        <v>1.0836120401337794</v>
      </c>
    </row>
    <row r="880" spans="1:9" x14ac:dyDescent="0.2">
      <c r="A880" s="70">
        <v>44684</v>
      </c>
      <c r="B880" s="57">
        <v>2343</v>
      </c>
      <c r="C880" s="57">
        <v>1</v>
      </c>
      <c r="D880" s="57" t="s">
        <v>175</v>
      </c>
      <c r="E880" s="57">
        <v>0</v>
      </c>
      <c r="F880" s="57">
        <v>0.83640000000000003</v>
      </c>
      <c r="G880" s="57">
        <v>0.40129999999999999</v>
      </c>
      <c r="H880" s="57" t="s">
        <v>196</v>
      </c>
      <c r="I880" s="33">
        <f t="shared" si="3"/>
        <v>1.0842262646399203</v>
      </c>
    </row>
    <row r="881" spans="1:9" x14ac:dyDescent="0.2">
      <c r="A881" s="70">
        <v>44706</v>
      </c>
      <c r="B881" s="57">
        <v>2024</v>
      </c>
      <c r="C881" s="57">
        <v>3</v>
      </c>
      <c r="D881" s="57" t="s">
        <v>192</v>
      </c>
      <c r="E881" s="57">
        <v>0</v>
      </c>
      <c r="F881" s="57">
        <v>0.71099999999999997</v>
      </c>
      <c r="G881" s="57">
        <v>0.34100000000000003</v>
      </c>
      <c r="H881" s="57" t="s">
        <v>193</v>
      </c>
      <c r="I881" s="33">
        <f t="shared" si="3"/>
        <v>1.0850439882697944</v>
      </c>
    </row>
    <row r="882" spans="1:9" x14ac:dyDescent="0.2">
      <c r="A882" s="70">
        <v>44684</v>
      </c>
      <c r="B882" s="57">
        <v>2367</v>
      </c>
      <c r="C882" s="57">
        <v>3</v>
      </c>
      <c r="D882" s="57" t="s">
        <v>175</v>
      </c>
      <c r="E882" s="57">
        <v>0</v>
      </c>
      <c r="F882" s="57">
        <v>5.8400000000000001E-2</v>
      </c>
      <c r="G882" s="57">
        <v>2.8000000000000001E-2</v>
      </c>
      <c r="H882" s="57" t="s">
        <v>196</v>
      </c>
      <c r="I882" s="33">
        <f t="shared" si="3"/>
        <v>1.0857142857142856</v>
      </c>
    </row>
    <row r="883" spans="1:9" x14ac:dyDescent="0.2">
      <c r="A883" s="70">
        <v>44708</v>
      </c>
      <c r="B883" s="57">
        <v>2007</v>
      </c>
      <c r="C883" s="57">
        <v>1</v>
      </c>
      <c r="D883" s="57" t="s">
        <v>175</v>
      </c>
      <c r="E883" s="57">
        <v>0</v>
      </c>
      <c r="F883" s="57">
        <v>0.14810000000000001</v>
      </c>
      <c r="G883" s="57">
        <v>7.0999999999999994E-2</v>
      </c>
      <c r="H883" s="57" t="s">
        <v>193</v>
      </c>
      <c r="I883" s="33">
        <f t="shared" si="3"/>
        <v>1.0859154929577468</v>
      </c>
    </row>
    <row r="884" spans="1:9" x14ac:dyDescent="0.2">
      <c r="A884" s="70">
        <v>44685</v>
      </c>
      <c r="B884" s="57">
        <v>2375</v>
      </c>
      <c r="C884" s="57">
        <v>2</v>
      </c>
      <c r="D884" s="57" t="s">
        <v>175</v>
      </c>
      <c r="E884" s="57">
        <v>0</v>
      </c>
      <c r="F884" s="57">
        <v>8.9099999999999999E-2</v>
      </c>
      <c r="G884" s="57">
        <v>4.2700000000000002E-2</v>
      </c>
      <c r="I884" s="33">
        <f t="shared" si="3"/>
        <v>1.0866510538641685</v>
      </c>
    </row>
    <row r="885" spans="1:9" x14ac:dyDescent="0.2">
      <c r="A885" s="70">
        <v>44690</v>
      </c>
      <c r="B885" s="57">
        <v>1475</v>
      </c>
      <c r="C885" s="57">
        <v>2</v>
      </c>
      <c r="D885" s="57" t="s">
        <v>192</v>
      </c>
      <c r="E885" s="57">
        <v>0</v>
      </c>
      <c r="F885" s="57">
        <v>0.60199999999999998</v>
      </c>
      <c r="G885" s="57">
        <v>0.28849999999999998</v>
      </c>
      <c r="I885" s="33">
        <f t="shared" si="3"/>
        <v>1.0866551126516466</v>
      </c>
    </row>
    <row r="886" spans="1:9" x14ac:dyDescent="0.2">
      <c r="A886" s="70">
        <v>44690</v>
      </c>
      <c r="B886" s="57">
        <v>2015</v>
      </c>
      <c r="C886" s="57">
        <v>1</v>
      </c>
      <c r="D886" s="57" t="s">
        <v>175</v>
      </c>
      <c r="E886" s="57">
        <v>0</v>
      </c>
      <c r="F886" s="57">
        <v>4.8000000000000001E-2</v>
      </c>
      <c r="G886" s="57">
        <v>2.3E-2</v>
      </c>
      <c r="I886" s="33">
        <f t="shared" si="3"/>
        <v>1.0869565217391306</v>
      </c>
    </row>
    <row r="887" spans="1:9" x14ac:dyDescent="0.2">
      <c r="A887" s="70">
        <v>44704</v>
      </c>
      <c r="B887" s="57">
        <v>2030</v>
      </c>
      <c r="C887" s="57">
        <v>2</v>
      </c>
      <c r="D887" s="57" t="s">
        <v>175</v>
      </c>
      <c r="E887" s="57">
        <v>0</v>
      </c>
      <c r="F887" s="57">
        <v>0.12920000000000001</v>
      </c>
      <c r="G887" s="57">
        <v>6.1899999999999997E-2</v>
      </c>
      <c r="I887" s="33">
        <f t="shared" si="3"/>
        <v>1.0872374798061393</v>
      </c>
    </row>
    <row r="888" spans="1:9" x14ac:dyDescent="0.2">
      <c r="A888" s="70">
        <v>44665</v>
      </c>
      <c r="B888" s="57">
        <v>2379</v>
      </c>
      <c r="C888" s="57">
        <v>1</v>
      </c>
      <c r="D888" s="57" t="s">
        <v>192</v>
      </c>
      <c r="E888" s="57">
        <v>0</v>
      </c>
      <c r="F888" s="57">
        <v>0.66720000000000002</v>
      </c>
      <c r="G888" s="57">
        <v>0.3196</v>
      </c>
      <c r="H888" s="57" t="s">
        <v>191</v>
      </c>
      <c r="I888" s="33">
        <f t="shared" si="3"/>
        <v>1.0876095118898623</v>
      </c>
    </row>
    <row r="889" spans="1:9" x14ac:dyDescent="0.2">
      <c r="A889" s="70">
        <v>44665</v>
      </c>
      <c r="B889" s="57">
        <v>2384</v>
      </c>
      <c r="C889" s="57">
        <v>2</v>
      </c>
      <c r="D889" s="57" t="s">
        <v>192</v>
      </c>
      <c r="E889" s="57">
        <v>0</v>
      </c>
      <c r="F889" s="57">
        <v>1.3069</v>
      </c>
      <c r="G889" s="57">
        <v>0.62549999999999994</v>
      </c>
      <c r="H889" s="57" t="s">
        <v>191</v>
      </c>
      <c r="I889" s="33">
        <f t="shared" si="3"/>
        <v>1.0893685051958435</v>
      </c>
    </row>
    <row r="890" spans="1:9" x14ac:dyDescent="0.2">
      <c r="A890" s="70">
        <v>44690</v>
      </c>
      <c r="B890" s="57">
        <v>2088</v>
      </c>
      <c r="C890" s="57">
        <v>1</v>
      </c>
      <c r="D890" s="57" t="s">
        <v>192</v>
      </c>
      <c r="E890" s="57">
        <v>1</v>
      </c>
      <c r="F890" s="57">
        <v>0.70209999999999995</v>
      </c>
      <c r="G890" s="72">
        <v>0.33600000000000002</v>
      </c>
      <c r="I890" s="33">
        <f t="shared" si="3"/>
        <v>1.0895833333333331</v>
      </c>
    </row>
    <row r="891" spans="1:9" x14ac:dyDescent="0.2">
      <c r="A891" s="70">
        <v>44690</v>
      </c>
      <c r="B891" s="57">
        <v>2004</v>
      </c>
      <c r="C891" s="57">
        <v>2</v>
      </c>
      <c r="D891" s="57" t="s">
        <v>192</v>
      </c>
      <c r="E891" s="57">
        <v>0</v>
      </c>
      <c r="F891" s="57">
        <v>0.48230000000000001</v>
      </c>
      <c r="G891" s="57">
        <v>0.23069999999999999</v>
      </c>
      <c r="I891" s="33">
        <f t="shared" si="3"/>
        <v>1.0905938448201129</v>
      </c>
    </row>
    <row r="892" spans="1:9" x14ac:dyDescent="0.2">
      <c r="A892" s="70">
        <v>44708</v>
      </c>
      <c r="B892" s="57">
        <v>2090</v>
      </c>
      <c r="C892" s="57">
        <v>3</v>
      </c>
      <c r="D892" s="57" t="s">
        <v>175</v>
      </c>
      <c r="E892" s="57">
        <v>0</v>
      </c>
      <c r="F892" s="57">
        <v>4.5999999999999999E-2</v>
      </c>
      <c r="G892" s="57">
        <v>2.1999999999999999E-2</v>
      </c>
      <c r="H892" s="57" t="s">
        <v>193</v>
      </c>
      <c r="I892" s="33">
        <f t="shared" si="3"/>
        <v>1.0909090909090911</v>
      </c>
    </row>
    <row r="893" spans="1:9" x14ac:dyDescent="0.2">
      <c r="A893" s="70">
        <v>44706</v>
      </c>
      <c r="B893" s="57">
        <v>2372</v>
      </c>
      <c r="C893" s="57">
        <v>2</v>
      </c>
      <c r="D893" s="57" t="s">
        <v>175</v>
      </c>
      <c r="E893" s="57">
        <v>0</v>
      </c>
      <c r="F893" s="57">
        <v>0.28649999999999998</v>
      </c>
      <c r="G893" s="57">
        <v>0.13700000000000001</v>
      </c>
      <c r="H893" s="57" t="s">
        <v>193</v>
      </c>
      <c r="I893" s="33">
        <f t="shared" si="3"/>
        <v>1.0912408759124084</v>
      </c>
    </row>
    <row r="894" spans="1:9" x14ac:dyDescent="0.2">
      <c r="A894" s="70">
        <v>44635</v>
      </c>
      <c r="B894" s="57">
        <v>2352</v>
      </c>
      <c r="C894" s="57">
        <v>1</v>
      </c>
      <c r="D894" s="57" t="s">
        <v>192</v>
      </c>
      <c r="E894" s="57" t="s">
        <v>60</v>
      </c>
      <c r="F894" s="57">
        <v>1.456</v>
      </c>
      <c r="G894" s="57">
        <v>0.69599999999999995</v>
      </c>
      <c r="H894" s="57" t="s">
        <v>194</v>
      </c>
      <c r="I894" s="33">
        <f t="shared" si="3"/>
        <v>1.0919540229885059</v>
      </c>
    </row>
    <row r="895" spans="1:9" x14ac:dyDescent="0.2">
      <c r="A895" s="70">
        <v>44665</v>
      </c>
      <c r="B895" s="57">
        <v>2379</v>
      </c>
      <c r="C895" s="57">
        <v>3</v>
      </c>
      <c r="D895" s="57" t="s">
        <v>192</v>
      </c>
      <c r="E895" s="57">
        <v>0</v>
      </c>
      <c r="F895" s="57">
        <v>1.1223000000000001</v>
      </c>
      <c r="G895" s="57">
        <v>0.53620000000000001</v>
      </c>
      <c r="H895" s="57" t="s">
        <v>191</v>
      </c>
      <c r="I895" s="33">
        <f t="shared" si="3"/>
        <v>1.0930622901902276</v>
      </c>
    </row>
    <row r="896" spans="1:9" x14ac:dyDescent="0.2">
      <c r="A896" s="70">
        <v>44690</v>
      </c>
      <c r="B896" s="57">
        <v>2093</v>
      </c>
      <c r="C896" s="57">
        <v>3</v>
      </c>
      <c r="D896" s="57" t="s">
        <v>192</v>
      </c>
      <c r="E896" s="57">
        <v>0</v>
      </c>
      <c r="F896" s="57">
        <v>1.9718</v>
      </c>
      <c r="G896" s="57">
        <v>0.94189999999999996</v>
      </c>
      <c r="I896" s="33">
        <f t="shared" si="3"/>
        <v>1.093428177088863</v>
      </c>
    </row>
    <row r="897" spans="1:9" x14ac:dyDescent="0.2">
      <c r="A897" s="70">
        <v>44704</v>
      </c>
      <c r="B897" s="57">
        <v>2022</v>
      </c>
      <c r="C897" s="57">
        <v>2</v>
      </c>
      <c r="D897" s="57" t="s">
        <v>175</v>
      </c>
      <c r="E897" s="57">
        <v>0</v>
      </c>
      <c r="F897" s="57">
        <v>0.19470000000000001</v>
      </c>
      <c r="G897" s="57">
        <v>9.2999999999999999E-2</v>
      </c>
      <c r="I897" s="33">
        <f t="shared" si="3"/>
        <v>1.0935483870967744</v>
      </c>
    </row>
    <row r="898" spans="1:9" x14ac:dyDescent="0.2">
      <c r="A898" s="70">
        <v>44690</v>
      </c>
      <c r="B898" s="57">
        <v>2004</v>
      </c>
      <c r="C898" s="57">
        <v>1</v>
      </c>
      <c r="D898" s="57" t="s">
        <v>192</v>
      </c>
      <c r="E898" s="57">
        <v>0</v>
      </c>
      <c r="F898" s="57">
        <v>0.62429999999999997</v>
      </c>
      <c r="G898" s="57">
        <v>0.29820000000000002</v>
      </c>
      <c r="I898" s="33">
        <f t="shared" si="3"/>
        <v>1.0935613682092553</v>
      </c>
    </row>
    <row r="899" spans="1:9" x14ac:dyDescent="0.2">
      <c r="A899" s="70">
        <v>44684</v>
      </c>
      <c r="B899" s="57">
        <v>2367</v>
      </c>
      <c r="C899" s="57">
        <v>3</v>
      </c>
      <c r="D899" s="57" t="s">
        <v>192</v>
      </c>
      <c r="E899" s="57">
        <v>0</v>
      </c>
      <c r="F899" s="57">
        <v>0.65390000000000004</v>
      </c>
      <c r="G899" s="57">
        <v>0.312</v>
      </c>
      <c r="H899" s="57" t="s">
        <v>196</v>
      </c>
      <c r="I899" s="33">
        <f t="shared" si="3"/>
        <v>1.0958333333333334</v>
      </c>
    </row>
    <row r="900" spans="1:9" x14ac:dyDescent="0.2">
      <c r="A900" s="70">
        <v>44690</v>
      </c>
      <c r="B900" s="57">
        <v>2022</v>
      </c>
      <c r="C900" s="57">
        <v>2</v>
      </c>
      <c r="D900" s="57" t="s">
        <v>175</v>
      </c>
      <c r="E900" s="57">
        <v>1</v>
      </c>
      <c r="F900" s="57">
        <v>0.12920000000000001</v>
      </c>
      <c r="G900" s="57">
        <v>6.1600000000000002E-2</v>
      </c>
      <c r="I900" s="33">
        <f t="shared" si="3"/>
        <v>1.0974025974025974</v>
      </c>
    </row>
    <row r="901" spans="1:9" x14ac:dyDescent="0.2">
      <c r="A901" s="70">
        <v>44650</v>
      </c>
      <c r="B901" s="57">
        <v>2009</v>
      </c>
      <c r="C901" s="57">
        <v>2</v>
      </c>
      <c r="D901" s="57" t="s">
        <v>175</v>
      </c>
      <c r="E901" s="57">
        <v>1</v>
      </c>
      <c r="F901" s="57">
        <v>0.5181</v>
      </c>
      <c r="G901" s="57">
        <v>0.247</v>
      </c>
      <c r="H901" s="57" t="s">
        <v>191</v>
      </c>
      <c r="I901" s="33">
        <f t="shared" si="3"/>
        <v>1.0975708502024293</v>
      </c>
    </row>
    <row r="902" spans="1:9" x14ac:dyDescent="0.2">
      <c r="A902" s="70">
        <v>44665</v>
      </c>
      <c r="B902" s="57">
        <v>2020</v>
      </c>
      <c r="C902" s="57">
        <v>2</v>
      </c>
      <c r="D902" s="57" t="s">
        <v>175</v>
      </c>
      <c r="E902" s="57">
        <v>1</v>
      </c>
      <c r="F902" s="57">
        <v>7.8100000000000003E-2</v>
      </c>
      <c r="G902" s="57">
        <v>3.7199999999999997E-2</v>
      </c>
      <c r="H902" s="57" t="s">
        <v>191</v>
      </c>
      <c r="I902" s="33">
        <f t="shared" si="3"/>
        <v>1.0994623655913982</v>
      </c>
    </row>
    <row r="903" spans="1:9" x14ac:dyDescent="0.2">
      <c r="A903" s="70">
        <v>44690</v>
      </c>
      <c r="B903" s="57">
        <v>2093</v>
      </c>
      <c r="C903" s="57">
        <v>1</v>
      </c>
      <c r="D903" s="57" t="s">
        <v>175</v>
      </c>
      <c r="E903" s="57">
        <v>1</v>
      </c>
      <c r="F903" s="57">
        <v>0.43020000000000003</v>
      </c>
      <c r="G903" s="57">
        <v>0.2049</v>
      </c>
      <c r="I903" s="33">
        <f t="shared" si="3"/>
        <v>1.0995607613469986</v>
      </c>
    </row>
    <row r="904" spans="1:9" x14ac:dyDescent="0.2">
      <c r="A904" s="70">
        <v>44704</v>
      </c>
      <c r="B904" s="57">
        <v>2027</v>
      </c>
      <c r="C904" s="57">
        <v>3</v>
      </c>
      <c r="D904" s="57" t="s">
        <v>175</v>
      </c>
      <c r="E904" s="57">
        <v>0</v>
      </c>
      <c r="F904" s="57">
        <v>0.14699999999999999</v>
      </c>
      <c r="G904" s="57">
        <v>7.0000000000000007E-2</v>
      </c>
      <c r="I904" s="33">
        <f t="shared" si="3"/>
        <v>1.0999999999999996</v>
      </c>
    </row>
    <row r="905" spans="1:9" x14ac:dyDescent="0.2">
      <c r="A905" s="70">
        <v>44690</v>
      </c>
      <c r="B905" s="57">
        <v>2031</v>
      </c>
      <c r="C905" s="57">
        <v>1</v>
      </c>
      <c r="D905" s="57" t="s">
        <v>175</v>
      </c>
      <c r="E905" s="57">
        <v>0</v>
      </c>
      <c r="F905" s="57">
        <v>3.9899999999999998E-2</v>
      </c>
      <c r="G905" s="57">
        <v>1.9E-2</v>
      </c>
      <c r="I905" s="33">
        <f t="shared" si="3"/>
        <v>1.0999999999999999</v>
      </c>
    </row>
    <row r="906" spans="1:9" x14ac:dyDescent="0.2">
      <c r="A906" s="70">
        <v>44665</v>
      </c>
      <c r="B906" s="57">
        <v>2350</v>
      </c>
      <c r="C906" s="57">
        <v>1</v>
      </c>
      <c r="D906" s="57" t="s">
        <v>175</v>
      </c>
      <c r="E906" s="57">
        <v>1</v>
      </c>
      <c r="F906" s="57">
        <v>0.26540000000000002</v>
      </c>
      <c r="G906" s="57">
        <v>0.1263</v>
      </c>
      <c r="H906" s="57" t="s">
        <v>191</v>
      </c>
      <c r="I906" s="33">
        <f t="shared" si="3"/>
        <v>1.1013460015835315</v>
      </c>
    </row>
    <row r="907" spans="1:9" x14ac:dyDescent="0.2">
      <c r="A907" s="70">
        <v>44665</v>
      </c>
      <c r="B907" s="57">
        <v>2005</v>
      </c>
      <c r="C907" s="57">
        <v>1</v>
      </c>
      <c r="D907" s="57" t="s">
        <v>192</v>
      </c>
      <c r="E907" s="57">
        <v>0</v>
      </c>
      <c r="F907" s="57">
        <v>2.5310999999999999</v>
      </c>
      <c r="G907" s="57">
        <v>1.2043999999999999</v>
      </c>
      <c r="H907" s="57" t="s">
        <v>191</v>
      </c>
      <c r="I907" s="33">
        <f t="shared" si="3"/>
        <v>1.1015443374294256</v>
      </c>
    </row>
    <row r="908" spans="1:9" x14ac:dyDescent="0.2">
      <c r="A908" s="70">
        <v>44684</v>
      </c>
      <c r="B908" s="57">
        <v>2009</v>
      </c>
      <c r="C908" s="57">
        <v>1</v>
      </c>
      <c r="D908" s="57" t="s">
        <v>175</v>
      </c>
      <c r="E908" s="57">
        <v>0</v>
      </c>
      <c r="F908" s="57">
        <v>0.13730000000000001</v>
      </c>
      <c r="G908" s="57">
        <v>6.5299999999999997E-2</v>
      </c>
      <c r="H908" s="57" t="s">
        <v>196</v>
      </c>
      <c r="I908" s="33">
        <f t="shared" si="3"/>
        <v>1.1026033690658501</v>
      </c>
    </row>
    <row r="909" spans="1:9" x14ac:dyDescent="0.2">
      <c r="A909" s="70">
        <v>44650</v>
      </c>
      <c r="B909" s="57">
        <v>2346</v>
      </c>
      <c r="C909" s="57">
        <v>3</v>
      </c>
      <c r="D909" s="57" t="s">
        <v>175</v>
      </c>
      <c r="E909" s="57">
        <v>1</v>
      </c>
      <c r="F909" s="57">
        <v>0.11990000000000001</v>
      </c>
      <c r="G909" s="57">
        <v>5.7000000000000002E-2</v>
      </c>
      <c r="H909" s="57" t="s">
        <v>191</v>
      </c>
      <c r="I909" s="33">
        <f t="shared" si="3"/>
        <v>1.1035087719298247</v>
      </c>
    </row>
    <row r="910" spans="1:9" x14ac:dyDescent="0.2">
      <c r="A910" s="70">
        <v>44665</v>
      </c>
      <c r="B910" s="57">
        <v>2007</v>
      </c>
      <c r="C910" s="57">
        <v>2</v>
      </c>
      <c r="D910" s="57" t="s">
        <v>175</v>
      </c>
      <c r="E910" s="57">
        <v>1</v>
      </c>
      <c r="F910" s="57">
        <v>0.1948</v>
      </c>
      <c r="G910" s="57">
        <v>9.2600000000000002E-2</v>
      </c>
      <c r="H910" s="57" t="s">
        <v>191</v>
      </c>
      <c r="I910" s="33">
        <f t="shared" si="3"/>
        <v>1.1036717062634989</v>
      </c>
    </row>
    <row r="911" spans="1:9" x14ac:dyDescent="0.2">
      <c r="A911" s="70">
        <v>44650</v>
      </c>
      <c r="B911" s="57">
        <v>2364</v>
      </c>
      <c r="C911" s="57">
        <v>1</v>
      </c>
      <c r="D911" s="57" t="s">
        <v>175</v>
      </c>
      <c r="E911" s="57">
        <v>1</v>
      </c>
      <c r="F911" s="57">
        <v>4.8399999999999999E-2</v>
      </c>
      <c r="G911" s="57">
        <v>2.3E-2</v>
      </c>
      <c r="H911" s="57" t="s">
        <v>191</v>
      </c>
      <c r="I911" s="33">
        <f t="shared" si="3"/>
        <v>1.1043478260869566</v>
      </c>
    </row>
    <row r="912" spans="1:9" x14ac:dyDescent="0.2">
      <c r="A912" s="70">
        <v>44690</v>
      </c>
      <c r="B912" s="57">
        <v>2027</v>
      </c>
      <c r="C912" s="57">
        <v>3</v>
      </c>
      <c r="D912" s="57" t="s">
        <v>175</v>
      </c>
      <c r="E912" s="57">
        <v>1</v>
      </c>
      <c r="F912" s="57">
        <v>0.2923</v>
      </c>
      <c r="G912" s="57">
        <v>0.1389</v>
      </c>
      <c r="I912" s="33">
        <f t="shared" si="3"/>
        <v>1.1043916486681067</v>
      </c>
    </row>
    <row r="913" spans="1:9" x14ac:dyDescent="0.2">
      <c r="A913" s="70">
        <v>44706</v>
      </c>
      <c r="B913" s="57">
        <v>2378</v>
      </c>
      <c r="C913" s="57">
        <v>2</v>
      </c>
      <c r="D913" s="57" t="s">
        <v>192</v>
      </c>
      <c r="E913" s="57">
        <v>0</v>
      </c>
      <c r="F913" s="57">
        <v>0.70540000000000003</v>
      </c>
      <c r="G913" s="57">
        <v>0.33500000000000002</v>
      </c>
      <c r="H913" s="57" t="s">
        <v>193</v>
      </c>
      <c r="I913" s="33">
        <f t="shared" si="3"/>
        <v>1.1056716417910448</v>
      </c>
    </row>
    <row r="914" spans="1:9" x14ac:dyDescent="0.2">
      <c r="A914" s="70">
        <v>44650</v>
      </c>
      <c r="B914" s="57">
        <v>2378</v>
      </c>
      <c r="C914" s="57">
        <v>1</v>
      </c>
      <c r="D914" s="57" t="s">
        <v>175</v>
      </c>
      <c r="E914" s="57">
        <v>1</v>
      </c>
      <c r="F914" s="57">
        <v>0.36430000000000001</v>
      </c>
      <c r="G914" s="57">
        <v>0.17299999999999999</v>
      </c>
      <c r="H914" s="57" t="s">
        <v>191</v>
      </c>
      <c r="I914" s="33">
        <f t="shared" si="3"/>
        <v>1.1057803468208094</v>
      </c>
    </row>
    <row r="915" spans="1:9" x14ac:dyDescent="0.2">
      <c r="A915" s="70">
        <v>44665</v>
      </c>
      <c r="B915" s="57">
        <v>2004</v>
      </c>
      <c r="C915" s="57">
        <v>1</v>
      </c>
      <c r="D915" s="57" t="s">
        <v>175</v>
      </c>
      <c r="E915" s="57">
        <v>1</v>
      </c>
      <c r="F915" s="57">
        <v>0.26090000000000002</v>
      </c>
      <c r="G915" s="57">
        <v>0.12379999999999999</v>
      </c>
      <c r="H915" s="57" t="s">
        <v>191</v>
      </c>
      <c r="I915" s="33">
        <f t="shared" si="3"/>
        <v>1.107431340872375</v>
      </c>
    </row>
    <row r="916" spans="1:9" x14ac:dyDescent="0.2">
      <c r="A916" s="70">
        <v>44690</v>
      </c>
      <c r="B916" s="57">
        <v>2090</v>
      </c>
      <c r="C916" s="57">
        <v>3</v>
      </c>
      <c r="D916" s="57" t="s">
        <v>175</v>
      </c>
      <c r="E916" s="57">
        <v>1</v>
      </c>
      <c r="F916" s="57">
        <v>0.11890000000000001</v>
      </c>
      <c r="G916" s="57">
        <v>5.6399999999999999E-2</v>
      </c>
      <c r="I916" s="33">
        <f t="shared" si="3"/>
        <v>1.1081560283687943</v>
      </c>
    </row>
    <row r="917" spans="1:9" x14ac:dyDescent="0.2">
      <c r="A917" s="70">
        <v>44685</v>
      </c>
      <c r="B917" s="57">
        <v>2378</v>
      </c>
      <c r="C917" s="57">
        <v>1</v>
      </c>
      <c r="D917" s="57" t="s">
        <v>175</v>
      </c>
      <c r="E917" s="57">
        <v>1</v>
      </c>
      <c r="F917" s="57">
        <v>0.25790000000000002</v>
      </c>
      <c r="G917" s="57">
        <v>0.12230000000000001</v>
      </c>
      <c r="I917" s="33">
        <f t="shared" si="3"/>
        <v>1.1087489779231396</v>
      </c>
    </row>
    <row r="918" spans="1:9" x14ac:dyDescent="0.2">
      <c r="A918" s="70">
        <v>44690</v>
      </c>
      <c r="B918" s="57">
        <v>2012</v>
      </c>
      <c r="C918" s="57">
        <v>2</v>
      </c>
      <c r="D918" s="57" t="s">
        <v>192</v>
      </c>
      <c r="E918" s="57">
        <v>0</v>
      </c>
      <c r="F918" s="57">
        <v>0.6069</v>
      </c>
      <c r="G918" s="57">
        <v>0.2878</v>
      </c>
      <c r="I918" s="33">
        <f t="shared" si="3"/>
        <v>1.1087560806115357</v>
      </c>
    </row>
    <row r="919" spans="1:9" x14ac:dyDescent="0.2">
      <c r="A919" s="70">
        <v>44685</v>
      </c>
      <c r="B919" s="57">
        <v>2371</v>
      </c>
      <c r="C919" s="57">
        <v>2</v>
      </c>
      <c r="D919" s="57" t="s">
        <v>175</v>
      </c>
      <c r="E919" s="57">
        <v>0</v>
      </c>
      <c r="F919" s="57">
        <v>0.1464</v>
      </c>
      <c r="G919" s="57">
        <v>6.9400000000000003E-2</v>
      </c>
      <c r="I919" s="33">
        <f t="shared" si="3"/>
        <v>1.1095100864553313</v>
      </c>
    </row>
    <row r="920" spans="1:9" x14ac:dyDescent="0.2">
      <c r="A920" s="70">
        <v>44665</v>
      </c>
      <c r="B920" s="57">
        <v>2381</v>
      </c>
      <c r="C920" s="57">
        <v>2</v>
      </c>
      <c r="D920" s="57" t="s">
        <v>192</v>
      </c>
      <c r="E920" s="57">
        <v>0</v>
      </c>
      <c r="F920" s="57">
        <v>1.4029</v>
      </c>
      <c r="G920" s="57">
        <v>0.66490000000000005</v>
      </c>
      <c r="H920" s="57" t="s">
        <v>191</v>
      </c>
      <c r="I920" s="33">
        <f t="shared" si="3"/>
        <v>1.1099413445630921</v>
      </c>
    </row>
    <row r="921" spans="1:9" x14ac:dyDescent="0.2">
      <c r="A921" s="70">
        <v>44706</v>
      </c>
      <c r="B921" s="57">
        <v>2371</v>
      </c>
      <c r="C921" s="57">
        <v>2</v>
      </c>
      <c r="D921" s="57" t="s">
        <v>175</v>
      </c>
      <c r="E921" s="57">
        <v>0</v>
      </c>
      <c r="F921" s="57">
        <v>4.2200000000000001E-2</v>
      </c>
      <c r="G921" s="57">
        <v>0.02</v>
      </c>
      <c r="H921" s="57" t="s">
        <v>193</v>
      </c>
      <c r="I921" s="33">
        <f t="shared" si="3"/>
        <v>1.1100000000000001</v>
      </c>
    </row>
    <row r="922" spans="1:9" x14ac:dyDescent="0.2">
      <c r="A922" s="70">
        <v>44665</v>
      </c>
      <c r="B922" s="57">
        <v>2010</v>
      </c>
      <c r="C922" s="57">
        <v>1</v>
      </c>
      <c r="D922" s="57" t="s">
        <v>175</v>
      </c>
      <c r="E922" s="57">
        <v>1</v>
      </c>
      <c r="F922" s="57">
        <v>0.2414</v>
      </c>
      <c r="G922" s="57">
        <v>0.1144</v>
      </c>
      <c r="H922" s="57" t="s">
        <v>191</v>
      </c>
      <c r="I922" s="33">
        <f t="shared" si="3"/>
        <v>1.1101398601398602</v>
      </c>
    </row>
    <row r="923" spans="1:9" x14ac:dyDescent="0.2">
      <c r="A923" s="70">
        <v>44708</v>
      </c>
      <c r="B923" s="57">
        <v>2007</v>
      </c>
      <c r="C923" s="57">
        <v>3</v>
      </c>
      <c r="D923" s="57" t="s">
        <v>175</v>
      </c>
      <c r="E923" s="57">
        <v>0</v>
      </c>
      <c r="F923" s="57">
        <v>0.13300000000000001</v>
      </c>
      <c r="G923" s="57">
        <v>6.3E-2</v>
      </c>
      <c r="H923" s="57" t="s">
        <v>193</v>
      </c>
      <c r="I923" s="33">
        <f t="shared" si="3"/>
        <v>1.1111111111111112</v>
      </c>
    </row>
    <row r="924" spans="1:9" x14ac:dyDescent="0.2">
      <c r="A924" s="70">
        <v>44685</v>
      </c>
      <c r="B924" s="57">
        <v>2375</v>
      </c>
      <c r="C924" s="57">
        <v>1</v>
      </c>
      <c r="D924" s="57" t="s">
        <v>192</v>
      </c>
      <c r="E924" s="57">
        <v>0</v>
      </c>
      <c r="F924" s="57">
        <v>0.79579999999999995</v>
      </c>
      <c r="G924" s="57">
        <v>0.37690000000000001</v>
      </c>
      <c r="I924" s="33">
        <f t="shared" si="3"/>
        <v>1.1114353940037143</v>
      </c>
    </row>
    <row r="925" spans="1:9" x14ac:dyDescent="0.2">
      <c r="A925" s="70">
        <v>44690</v>
      </c>
      <c r="B925" s="57">
        <v>1475</v>
      </c>
      <c r="C925" s="57">
        <v>3</v>
      </c>
      <c r="D925" s="57" t="s">
        <v>175</v>
      </c>
      <c r="E925" s="57">
        <v>1</v>
      </c>
      <c r="F925" s="57">
        <v>0.52100000000000002</v>
      </c>
      <c r="G925" s="57">
        <v>0.2465</v>
      </c>
      <c r="I925" s="33">
        <f t="shared" si="3"/>
        <v>1.1135902636916837</v>
      </c>
    </row>
    <row r="926" spans="1:9" x14ac:dyDescent="0.2">
      <c r="A926" s="70">
        <v>44665</v>
      </c>
      <c r="B926" s="57">
        <v>2381</v>
      </c>
      <c r="C926" s="57">
        <v>1</v>
      </c>
      <c r="D926" s="57" t="s">
        <v>175</v>
      </c>
      <c r="E926" s="57">
        <v>1</v>
      </c>
      <c r="F926" s="57">
        <v>0.64390000000000003</v>
      </c>
      <c r="G926" s="57">
        <v>0.30459999999999998</v>
      </c>
      <c r="H926" s="57" t="s">
        <v>191</v>
      </c>
      <c r="I926" s="33">
        <f t="shared" si="3"/>
        <v>1.1139198949441893</v>
      </c>
    </row>
    <row r="927" spans="1:9" x14ac:dyDescent="0.2">
      <c r="A927" s="70">
        <v>44708</v>
      </c>
      <c r="B927" s="57">
        <v>2092</v>
      </c>
      <c r="C927" s="57">
        <v>3</v>
      </c>
      <c r="D927" s="57" t="s">
        <v>175</v>
      </c>
      <c r="E927" s="57">
        <v>1</v>
      </c>
      <c r="F927" s="57">
        <v>0.16700000000000001</v>
      </c>
      <c r="G927" s="57">
        <v>7.9000000000000001E-2</v>
      </c>
      <c r="H927" s="57" t="s">
        <v>193</v>
      </c>
      <c r="I927" s="33">
        <f t="shared" si="3"/>
        <v>1.1139240506329116</v>
      </c>
    </row>
    <row r="928" spans="1:9" x14ac:dyDescent="0.2">
      <c r="A928" s="70">
        <v>44690</v>
      </c>
      <c r="B928" s="57">
        <v>2012</v>
      </c>
      <c r="C928" s="57">
        <v>1</v>
      </c>
      <c r="D928" s="57" t="s">
        <v>175</v>
      </c>
      <c r="E928" s="57">
        <v>1</v>
      </c>
      <c r="F928" s="57">
        <v>0.28589999999999999</v>
      </c>
      <c r="G928" s="57">
        <v>0.13519999999999999</v>
      </c>
      <c r="I928" s="33">
        <f t="shared" si="3"/>
        <v>1.1146449704142012</v>
      </c>
    </row>
    <row r="929" spans="1:9" x14ac:dyDescent="0.2">
      <c r="A929" s="70">
        <v>44708</v>
      </c>
      <c r="B929" s="57">
        <v>2086</v>
      </c>
      <c r="C929" s="57">
        <v>2</v>
      </c>
      <c r="D929" s="57" t="s">
        <v>175</v>
      </c>
      <c r="E929" s="57">
        <v>0</v>
      </c>
      <c r="F929" s="57">
        <v>0.16500000000000001</v>
      </c>
      <c r="G929" s="57">
        <v>7.8E-2</v>
      </c>
      <c r="H929" s="57" t="s">
        <v>193</v>
      </c>
      <c r="I929" s="33">
        <f t="shared" si="3"/>
        <v>1.1153846153846154</v>
      </c>
    </row>
    <row r="930" spans="1:9" x14ac:dyDescent="0.2">
      <c r="A930" s="70">
        <v>44665</v>
      </c>
      <c r="B930" s="57">
        <v>2025</v>
      </c>
      <c r="C930" s="57">
        <v>2</v>
      </c>
      <c r="D930" s="57" t="s">
        <v>175</v>
      </c>
      <c r="E930" s="57">
        <v>1</v>
      </c>
      <c r="F930" s="57">
        <v>7.2800000000000004E-2</v>
      </c>
      <c r="G930" s="57">
        <v>3.44E-2</v>
      </c>
      <c r="H930" s="57" t="s">
        <v>191</v>
      </c>
      <c r="I930" s="33">
        <f t="shared" si="3"/>
        <v>1.1162790697674421</v>
      </c>
    </row>
    <row r="931" spans="1:9" x14ac:dyDescent="0.2">
      <c r="A931" s="70">
        <v>44706</v>
      </c>
      <c r="B931" s="57">
        <v>2009</v>
      </c>
      <c r="C931" s="57">
        <v>3</v>
      </c>
      <c r="D931" s="57" t="s">
        <v>192</v>
      </c>
      <c r="E931" s="57">
        <v>0</v>
      </c>
      <c r="F931" s="57">
        <v>0.54400000000000004</v>
      </c>
      <c r="G931" s="57">
        <v>0.25700000000000001</v>
      </c>
      <c r="H931" s="57" t="s">
        <v>193</v>
      </c>
      <c r="I931" s="33">
        <f t="shared" si="3"/>
        <v>1.1167315175097277</v>
      </c>
    </row>
    <row r="932" spans="1:9" x14ac:dyDescent="0.2">
      <c r="A932" s="70">
        <v>44665</v>
      </c>
      <c r="B932" s="57">
        <v>2379</v>
      </c>
      <c r="C932" s="57">
        <v>2</v>
      </c>
      <c r="D932" s="57" t="s">
        <v>192</v>
      </c>
      <c r="E932" s="57">
        <v>0</v>
      </c>
      <c r="F932" s="57">
        <v>0.97870000000000001</v>
      </c>
      <c r="G932" s="57">
        <v>0.46229999999999999</v>
      </c>
      <c r="H932" s="57" t="s">
        <v>191</v>
      </c>
      <c r="I932" s="33">
        <f t="shared" si="3"/>
        <v>1.117023577763357</v>
      </c>
    </row>
    <row r="933" spans="1:9" x14ac:dyDescent="0.2">
      <c r="A933" s="70">
        <v>44650</v>
      </c>
      <c r="B933" s="57">
        <v>2379</v>
      </c>
      <c r="C933" s="57">
        <v>3</v>
      </c>
      <c r="D933" s="57" t="s">
        <v>175</v>
      </c>
      <c r="E933" s="57">
        <v>1</v>
      </c>
      <c r="F933" s="57">
        <v>0.26679999999999998</v>
      </c>
      <c r="G933" s="57">
        <v>0.126</v>
      </c>
      <c r="H933" s="57" t="s">
        <v>191</v>
      </c>
      <c r="I933" s="33">
        <f t="shared" si="3"/>
        <v>1.1174603174603173</v>
      </c>
    </row>
    <row r="934" spans="1:9" x14ac:dyDescent="0.2">
      <c r="A934" s="70">
        <v>44650</v>
      </c>
      <c r="B934" s="57">
        <v>2346</v>
      </c>
      <c r="C934" s="57">
        <v>1</v>
      </c>
      <c r="D934" s="57" t="s">
        <v>175</v>
      </c>
      <c r="E934" s="57">
        <v>1</v>
      </c>
      <c r="F934" s="57">
        <v>0.54210000000000003</v>
      </c>
      <c r="G934" s="57">
        <v>0.25600000000000001</v>
      </c>
      <c r="H934" s="57" t="s">
        <v>191</v>
      </c>
      <c r="I934" s="33">
        <f t="shared" si="3"/>
        <v>1.1175781250000001</v>
      </c>
    </row>
    <row r="935" spans="1:9" x14ac:dyDescent="0.2">
      <c r="A935" s="70">
        <v>44665</v>
      </c>
      <c r="B935" s="57">
        <v>2369</v>
      </c>
      <c r="C935" s="57">
        <v>2</v>
      </c>
      <c r="D935" s="57" t="s">
        <v>175</v>
      </c>
      <c r="E935" s="57">
        <v>1</v>
      </c>
      <c r="F935" s="57">
        <v>0.28570000000000001</v>
      </c>
      <c r="G935" s="57">
        <v>0.13489999999999999</v>
      </c>
      <c r="H935" s="57" t="s">
        <v>191</v>
      </c>
      <c r="I935" s="33">
        <f t="shared" si="3"/>
        <v>1.1178650852483323</v>
      </c>
    </row>
    <row r="936" spans="1:9" x14ac:dyDescent="0.2">
      <c r="A936" s="70">
        <v>44665</v>
      </c>
      <c r="B936" s="57">
        <v>2369</v>
      </c>
      <c r="C936" s="57">
        <v>2</v>
      </c>
      <c r="D936" s="57" t="s">
        <v>192</v>
      </c>
      <c r="E936" s="57">
        <v>0</v>
      </c>
      <c r="F936" s="57">
        <v>0.95820000000000005</v>
      </c>
      <c r="G936" s="57">
        <v>0.45219999999999999</v>
      </c>
      <c r="H936" s="57" t="s">
        <v>191</v>
      </c>
      <c r="I936" s="33">
        <f t="shared" si="3"/>
        <v>1.1189739053516143</v>
      </c>
    </row>
    <row r="937" spans="1:9" x14ac:dyDescent="0.2">
      <c r="A937" s="70">
        <v>44665</v>
      </c>
      <c r="B937" s="57">
        <v>2020</v>
      </c>
      <c r="C937" s="57">
        <v>1</v>
      </c>
      <c r="D937" s="57" t="s">
        <v>192</v>
      </c>
      <c r="E937" s="57">
        <v>1</v>
      </c>
      <c r="F937" s="57">
        <v>0.78359999999999996</v>
      </c>
      <c r="G937" s="57">
        <v>0.36959999999999998</v>
      </c>
      <c r="H937" s="57" t="s">
        <v>191</v>
      </c>
      <c r="I937" s="33">
        <f t="shared" si="3"/>
        <v>1.1201298701298701</v>
      </c>
    </row>
    <row r="938" spans="1:9" x14ac:dyDescent="0.2">
      <c r="A938" s="70">
        <v>44690</v>
      </c>
      <c r="B938" s="57">
        <v>2023</v>
      </c>
      <c r="C938" s="57">
        <v>3</v>
      </c>
      <c r="D938" s="57" t="s">
        <v>175</v>
      </c>
      <c r="E938" s="57">
        <v>0</v>
      </c>
      <c r="F938" s="57">
        <v>0.33710000000000001</v>
      </c>
      <c r="G938" s="57">
        <v>0.15890000000000001</v>
      </c>
      <c r="I938" s="33">
        <f t="shared" si="3"/>
        <v>1.1214600377595971</v>
      </c>
    </row>
    <row r="939" spans="1:9" x14ac:dyDescent="0.2">
      <c r="A939" s="70">
        <v>44650</v>
      </c>
      <c r="B939" s="57">
        <v>2346</v>
      </c>
      <c r="C939" s="57">
        <v>2</v>
      </c>
      <c r="D939" s="57" t="s">
        <v>175</v>
      </c>
      <c r="E939" s="57">
        <v>1</v>
      </c>
      <c r="F939" s="57">
        <v>0.33739999999999998</v>
      </c>
      <c r="G939" s="57">
        <v>0.159</v>
      </c>
      <c r="H939" s="57" t="s">
        <v>191</v>
      </c>
      <c r="I939" s="33">
        <f t="shared" si="3"/>
        <v>1.122012578616352</v>
      </c>
    </row>
    <row r="940" spans="1:9" x14ac:dyDescent="0.2">
      <c r="A940" s="70">
        <v>44708</v>
      </c>
      <c r="B940" s="57">
        <v>2013</v>
      </c>
      <c r="C940" s="57">
        <v>2</v>
      </c>
      <c r="D940" s="57" t="s">
        <v>192</v>
      </c>
      <c r="E940" s="57">
        <v>0</v>
      </c>
      <c r="F940" s="57">
        <v>0.69640000000000002</v>
      </c>
      <c r="G940" s="57">
        <v>0.32800000000000001</v>
      </c>
      <c r="H940" s="57" t="s">
        <v>193</v>
      </c>
      <c r="I940" s="33">
        <f t="shared" si="3"/>
        <v>1.123170731707317</v>
      </c>
    </row>
    <row r="941" spans="1:9" x14ac:dyDescent="0.2">
      <c r="A941" s="70">
        <v>44650</v>
      </c>
      <c r="B941" s="57">
        <v>2371</v>
      </c>
      <c r="C941" s="57">
        <v>2</v>
      </c>
      <c r="D941" s="57" t="s">
        <v>175</v>
      </c>
      <c r="E941" s="57" t="s">
        <v>60</v>
      </c>
      <c r="F941" s="57">
        <v>0.19120000000000001</v>
      </c>
      <c r="G941" s="57">
        <v>0.09</v>
      </c>
      <c r="H941" s="57" t="s">
        <v>191</v>
      </c>
      <c r="I941" s="33">
        <f t="shared" si="3"/>
        <v>1.1244444444444446</v>
      </c>
    </row>
    <row r="942" spans="1:9" x14ac:dyDescent="0.2">
      <c r="A942" s="70">
        <v>44706</v>
      </c>
      <c r="B942" s="57">
        <v>2347</v>
      </c>
      <c r="C942" s="57">
        <v>3</v>
      </c>
      <c r="D942" s="57" t="s">
        <v>175</v>
      </c>
      <c r="E942" s="57">
        <v>0</v>
      </c>
      <c r="F942" s="57">
        <v>7.6499999999999999E-2</v>
      </c>
      <c r="G942" s="57">
        <v>3.5999999999999997E-2</v>
      </c>
      <c r="H942" s="57" t="s">
        <v>193</v>
      </c>
      <c r="I942" s="33">
        <f t="shared" si="3"/>
        <v>1.1250000000000002</v>
      </c>
    </row>
    <row r="943" spans="1:9" x14ac:dyDescent="0.2">
      <c r="A943" s="70">
        <v>44706</v>
      </c>
      <c r="B943" s="57">
        <v>2370</v>
      </c>
      <c r="C943" s="57">
        <v>3</v>
      </c>
      <c r="D943" s="57" t="s">
        <v>175</v>
      </c>
      <c r="E943" s="57">
        <v>1</v>
      </c>
      <c r="F943" s="57">
        <v>0.59079999999999999</v>
      </c>
      <c r="G943" s="57">
        <v>0.27800000000000002</v>
      </c>
      <c r="H943" s="57" t="s">
        <v>193</v>
      </c>
      <c r="I943" s="33">
        <f t="shared" si="3"/>
        <v>1.1251798561151076</v>
      </c>
    </row>
    <row r="944" spans="1:9" x14ac:dyDescent="0.2">
      <c r="A944" s="70">
        <v>44690</v>
      </c>
      <c r="B944" s="57">
        <v>2028</v>
      </c>
      <c r="C944" s="57">
        <v>1</v>
      </c>
      <c r="D944" s="57" t="s">
        <v>175</v>
      </c>
      <c r="E944" s="57">
        <v>0</v>
      </c>
      <c r="F944" s="57">
        <v>0.14030000000000001</v>
      </c>
      <c r="G944" s="57">
        <v>6.6000000000000003E-2</v>
      </c>
      <c r="I944" s="33">
        <f t="shared" si="3"/>
        <v>1.1257575757575757</v>
      </c>
    </row>
    <row r="945" spans="1:9" x14ac:dyDescent="0.2">
      <c r="A945" s="70">
        <v>44708</v>
      </c>
      <c r="B945" s="57">
        <v>2006</v>
      </c>
      <c r="C945" s="57">
        <v>2</v>
      </c>
      <c r="D945" s="57" t="s">
        <v>175</v>
      </c>
      <c r="E945" s="57">
        <v>0</v>
      </c>
      <c r="F945" s="57">
        <v>5.74E-2</v>
      </c>
      <c r="G945" s="57">
        <v>2.7E-2</v>
      </c>
      <c r="H945" s="57" t="s">
        <v>193</v>
      </c>
      <c r="I945" s="33">
        <f t="shared" si="3"/>
        <v>1.125925925925926</v>
      </c>
    </row>
    <row r="946" spans="1:9" x14ac:dyDescent="0.2">
      <c r="A946" s="70">
        <v>44684</v>
      </c>
      <c r="B946" s="57">
        <v>2010</v>
      </c>
      <c r="C946" s="57">
        <v>1</v>
      </c>
      <c r="D946" s="57" t="s">
        <v>175</v>
      </c>
      <c r="E946" s="57">
        <v>0</v>
      </c>
      <c r="F946" s="57">
        <v>0.27979999999999999</v>
      </c>
      <c r="G946" s="57">
        <v>0.13159999999999999</v>
      </c>
      <c r="H946" s="57" t="s">
        <v>196</v>
      </c>
      <c r="I946" s="33">
        <f t="shared" si="3"/>
        <v>1.1261398176291795</v>
      </c>
    </row>
    <row r="947" spans="1:9" x14ac:dyDescent="0.2">
      <c r="A947" s="70">
        <v>44690</v>
      </c>
      <c r="B947" s="57">
        <v>2023</v>
      </c>
      <c r="C947" s="57">
        <v>2</v>
      </c>
      <c r="D947" s="57" t="s">
        <v>175</v>
      </c>
      <c r="E947" s="57">
        <v>1</v>
      </c>
      <c r="F947" s="57">
        <v>0.18590000000000001</v>
      </c>
      <c r="G947" s="57">
        <v>8.7400000000000005E-2</v>
      </c>
      <c r="I947" s="33">
        <f t="shared" si="3"/>
        <v>1.1270022883295194</v>
      </c>
    </row>
    <row r="948" spans="1:9" x14ac:dyDescent="0.2">
      <c r="A948" s="70">
        <v>44690</v>
      </c>
      <c r="B948" s="57">
        <v>2025</v>
      </c>
      <c r="C948" s="57">
        <v>1</v>
      </c>
      <c r="D948" s="57" t="s">
        <v>192</v>
      </c>
      <c r="E948" s="57">
        <v>0</v>
      </c>
      <c r="F948" s="57">
        <v>1.7050000000000001</v>
      </c>
      <c r="G948" s="57">
        <v>0.80149999999999999</v>
      </c>
      <c r="I948" s="33">
        <f t="shared" si="3"/>
        <v>1.1272613849033064</v>
      </c>
    </row>
    <row r="949" spans="1:9" x14ac:dyDescent="0.2">
      <c r="A949" s="70">
        <v>44690</v>
      </c>
      <c r="B949" s="57">
        <v>2015</v>
      </c>
      <c r="C949" s="57">
        <v>2</v>
      </c>
      <c r="D949" s="57" t="s">
        <v>175</v>
      </c>
      <c r="E949" s="57">
        <v>1</v>
      </c>
      <c r="F949" s="57">
        <v>7.51E-2</v>
      </c>
      <c r="G949" s="57">
        <v>3.5299999999999998E-2</v>
      </c>
      <c r="I949" s="33">
        <f t="shared" si="3"/>
        <v>1.1274787535410766</v>
      </c>
    </row>
    <row r="950" spans="1:9" x14ac:dyDescent="0.2">
      <c r="A950" s="70">
        <v>44690</v>
      </c>
      <c r="B950" s="57">
        <v>2090</v>
      </c>
      <c r="C950" s="57">
        <v>1</v>
      </c>
      <c r="D950" s="57" t="s">
        <v>192</v>
      </c>
      <c r="E950" s="57">
        <v>0</v>
      </c>
      <c r="F950" s="57">
        <v>0.9738</v>
      </c>
      <c r="G950" s="57">
        <v>0.45750000000000002</v>
      </c>
      <c r="I950" s="33">
        <f t="shared" si="3"/>
        <v>1.1285245901639342</v>
      </c>
    </row>
    <row r="951" spans="1:9" x14ac:dyDescent="0.2">
      <c r="A951" s="70">
        <v>44690</v>
      </c>
      <c r="B951" s="57">
        <v>2024</v>
      </c>
      <c r="C951" s="57">
        <v>1</v>
      </c>
      <c r="D951" s="57" t="s">
        <v>175</v>
      </c>
      <c r="E951" s="57">
        <v>0</v>
      </c>
      <c r="F951" s="57">
        <v>0.1968</v>
      </c>
      <c r="G951" s="57">
        <v>9.2399999999999996E-2</v>
      </c>
      <c r="I951" s="33">
        <f t="shared" si="3"/>
        <v>1.1298701298701299</v>
      </c>
    </row>
    <row r="952" spans="1:9" x14ac:dyDescent="0.2">
      <c r="A952" s="70">
        <v>44684</v>
      </c>
      <c r="B952" s="57">
        <v>2010</v>
      </c>
      <c r="C952" s="57">
        <v>2</v>
      </c>
      <c r="D952" s="57" t="s">
        <v>175</v>
      </c>
      <c r="E952" s="57">
        <v>0</v>
      </c>
      <c r="F952" s="57">
        <v>0.14510000000000001</v>
      </c>
      <c r="G952" s="57">
        <v>6.8099999999999994E-2</v>
      </c>
      <c r="H952" s="57" t="s">
        <v>196</v>
      </c>
      <c r="I952" s="33">
        <f t="shared" si="3"/>
        <v>1.1306901615271663</v>
      </c>
    </row>
    <row r="953" spans="1:9" x14ac:dyDescent="0.2">
      <c r="A953" s="70">
        <v>44662</v>
      </c>
      <c r="B953" s="57">
        <v>2088</v>
      </c>
      <c r="C953" s="57">
        <v>1</v>
      </c>
      <c r="D953" s="57" t="s">
        <v>192</v>
      </c>
      <c r="E953" s="57">
        <v>0</v>
      </c>
      <c r="F953" s="57">
        <v>0.32829999999999998</v>
      </c>
      <c r="G953" s="57">
        <v>0.154</v>
      </c>
      <c r="H953" s="57" t="s">
        <v>191</v>
      </c>
      <c r="I953" s="33">
        <f t="shared" si="3"/>
        <v>1.1318181818181816</v>
      </c>
    </row>
    <row r="954" spans="1:9" x14ac:dyDescent="0.2">
      <c r="A954" s="70">
        <v>44690</v>
      </c>
      <c r="B954" s="57">
        <v>2006</v>
      </c>
      <c r="C954" s="57">
        <v>2</v>
      </c>
      <c r="D954" s="57" t="s">
        <v>175</v>
      </c>
      <c r="E954" s="57">
        <v>1</v>
      </c>
      <c r="F954" s="57">
        <v>0.27460000000000001</v>
      </c>
      <c r="G954" s="57">
        <v>0.1288</v>
      </c>
      <c r="I954" s="33">
        <f t="shared" si="3"/>
        <v>1.1319875776397517</v>
      </c>
    </row>
    <row r="955" spans="1:9" x14ac:dyDescent="0.2">
      <c r="A955" s="70">
        <v>44650</v>
      </c>
      <c r="B955" s="57">
        <v>2378</v>
      </c>
      <c r="C955" s="57">
        <v>2</v>
      </c>
      <c r="D955" s="57" t="s">
        <v>192</v>
      </c>
      <c r="E955" s="57" t="s">
        <v>60</v>
      </c>
      <c r="F955" s="57">
        <v>1.1207</v>
      </c>
      <c r="G955" s="57">
        <v>0.52500000000000002</v>
      </c>
      <c r="H955" s="57" t="s">
        <v>191</v>
      </c>
      <c r="I955" s="33">
        <f t="shared" si="3"/>
        <v>1.1346666666666667</v>
      </c>
    </row>
    <row r="956" spans="1:9" x14ac:dyDescent="0.2">
      <c r="A956" s="70">
        <v>44662</v>
      </c>
      <c r="B956" s="57">
        <v>2088</v>
      </c>
      <c r="C956" s="57">
        <v>2</v>
      </c>
      <c r="D956" s="57" t="s">
        <v>192</v>
      </c>
      <c r="E956" s="57">
        <v>0</v>
      </c>
      <c r="F956" s="57">
        <v>0.64039999999999997</v>
      </c>
      <c r="G956" s="57">
        <v>0.3</v>
      </c>
      <c r="H956" s="57" t="s">
        <v>191</v>
      </c>
      <c r="I956" s="33">
        <f t="shared" si="3"/>
        <v>1.1346666666666667</v>
      </c>
    </row>
    <row r="957" spans="1:9" x14ac:dyDescent="0.2">
      <c r="A957" s="70">
        <v>44665</v>
      </c>
      <c r="B957" s="57">
        <v>2351</v>
      </c>
      <c r="C957" s="57">
        <v>2</v>
      </c>
      <c r="D957" s="57" t="s">
        <v>192</v>
      </c>
      <c r="E957" s="57">
        <v>1</v>
      </c>
      <c r="F957" s="57">
        <v>0.40460000000000002</v>
      </c>
      <c r="G957" s="57">
        <v>0.1895</v>
      </c>
      <c r="H957" s="57" t="s">
        <v>191</v>
      </c>
      <c r="I957" s="33">
        <f t="shared" si="3"/>
        <v>1.1350923482849604</v>
      </c>
    </row>
    <row r="958" spans="1:9" x14ac:dyDescent="0.2">
      <c r="A958" s="70">
        <v>44665</v>
      </c>
      <c r="B958" s="57">
        <v>2379</v>
      </c>
      <c r="C958" s="57">
        <v>1</v>
      </c>
      <c r="D958" s="57" t="s">
        <v>175</v>
      </c>
      <c r="E958" s="57">
        <v>0</v>
      </c>
      <c r="F958" s="57">
        <v>7.9000000000000008E-3</v>
      </c>
      <c r="G958" s="57">
        <v>3.7000000000000002E-3</v>
      </c>
      <c r="H958" s="57" t="s">
        <v>191</v>
      </c>
      <c r="I958" s="33">
        <f t="shared" si="3"/>
        <v>1.1351351351351353</v>
      </c>
    </row>
    <row r="959" spans="1:9" x14ac:dyDescent="0.2">
      <c r="A959" s="70">
        <v>44665</v>
      </c>
      <c r="B959" s="57">
        <v>2010</v>
      </c>
      <c r="C959" s="57">
        <v>2</v>
      </c>
      <c r="D959" s="57" t="s">
        <v>175</v>
      </c>
      <c r="E959" s="57">
        <v>1</v>
      </c>
      <c r="F959" s="57">
        <v>0.1232</v>
      </c>
      <c r="G959" s="57">
        <v>5.7700000000000001E-2</v>
      </c>
      <c r="H959" s="57" t="s">
        <v>191</v>
      </c>
      <c r="I959" s="33">
        <f t="shared" si="3"/>
        <v>1.1351819757365684</v>
      </c>
    </row>
    <row r="960" spans="1:9" x14ac:dyDescent="0.2">
      <c r="A960" s="70">
        <v>44708</v>
      </c>
      <c r="B960" s="57">
        <v>2088</v>
      </c>
      <c r="C960" s="57">
        <v>3</v>
      </c>
      <c r="D960" s="57" t="s">
        <v>175</v>
      </c>
      <c r="E960" s="57">
        <v>0</v>
      </c>
      <c r="F960" s="57">
        <v>0.15160000000000001</v>
      </c>
      <c r="G960" s="57">
        <v>7.0999999999999994E-2</v>
      </c>
      <c r="H960" s="57" t="s">
        <v>193</v>
      </c>
      <c r="I960" s="33">
        <f t="shared" si="3"/>
        <v>1.1352112676056341</v>
      </c>
    </row>
    <row r="961" spans="1:9" x14ac:dyDescent="0.2">
      <c r="A961" s="70">
        <v>44708</v>
      </c>
      <c r="B961" s="57">
        <v>2015</v>
      </c>
      <c r="C961" s="57">
        <v>2</v>
      </c>
      <c r="D961" s="57" t="s">
        <v>175</v>
      </c>
      <c r="E961" s="57">
        <v>0</v>
      </c>
      <c r="F961" s="57">
        <v>0.126</v>
      </c>
      <c r="G961" s="57">
        <v>5.8999999999999997E-2</v>
      </c>
      <c r="H961" s="57" t="s">
        <v>193</v>
      </c>
      <c r="I961" s="33">
        <f t="shared" si="3"/>
        <v>1.1355932203389831</v>
      </c>
    </row>
    <row r="962" spans="1:9" x14ac:dyDescent="0.2">
      <c r="A962" s="70">
        <v>44684</v>
      </c>
      <c r="B962" s="57">
        <v>2346</v>
      </c>
      <c r="C962" s="57">
        <v>3</v>
      </c>
      <c r="D962" s="57" t="s">
        <v>175</v>
      </c>
      <c r="E962" s="57">
        <v>0</v>
      </c>
      <c r="F962" s="57">
        <v>3.61E-2</v>
      </c>
      <c r="G962" s="57">
        <v>1.6899999999999998E-2</v>
      </c>
      <c r="H962" s="57" t="s">
        <v>196</v>
      </c>
      <c r="I962" s="33">
        <f t="shared" si="3"/>
        <v>1.1360946745562133</v>
      </c>
    </row>
    <row r="963" spans="1:9" x14ac:dyDescent="0.2">
      <c r="A963" s="70">
        <v>44708</v>
      </c>
      <c r="B963" s="57">
        <v>2007</v>
      </c>
      <c r="C963" s="57">
        <v>2</v>
      </c>
      <c r="D963" s="57" t="s">
        <v>175</v>
      </c>
      <c r="E963" s="57">
        <v>0</v>
      </c>
      <c r="F963" s="57">
        <v>0.1239</v>
      </c>
      <c r="G963" s="57">
        <v>5.8000000000000003E-2</v>
      </c>
      <c r="H963" s="57" t="s">
        <v>193</v>
      </c>
      <c r="I963" s="33">
        <f t="shared" si="3"/>
        <v>1.1362068965517238</v>
      </c>
    </row>
    <row r="964" spans="1:9" x14ac:dyDescent="0.2">
      <c r="A964" s="70">
        <v>44690</v>
      </c>
      <c r="B964" s="57">
        <v>1475</v>
      </c>
      <c r="C964" s="57">
        <v>1</v>
      </c>
      <c r="D964" s="57" t="s">
        <v>192</v>
      </c>
      <c r="E964" s="57">
        <v>0</v>
      </c>
      <c r="F964" s="57">
        <v>0.34179999999999999</v>
      </c>
      <c r="G964" s="57">
        <v>0.15989999999999999</v>
      </c>
      <c r="I964" s="33">
        <f t="shared" si="3"/>
        <v>1.1375859912445279</v>
      </c>
    </row>
    <row r="965" spans="1:9" x14ac:dyDescent="0.2">
      <c r="A965" s="70">
        <v>44708</v>
      </c>
      <c r="B965" s="57">
        <v>2091</v>
      </c>
      <c r="C965" s="57">
        <v>1</v>
      </c>
      <c r="D965" s="57" t="s">
        <v>175</v>
      </c>
      <c r="E965" s="57">
        <v>0</v>
      </c>
      <c r="F965" s="57">
        <v>0.1411</v>
      </c>
      <c r="G965" s="57">
        <v>6.6000000000000003E-2</v>
      </c>
      <c r="H965" s="57" t="s">
        <v>193</v>
      </c>
      <c r="I965" s="33">
        <f t="shared" si="3"/>
        <v>1.1378787878787879</v>
      </c>
    </row>
    <row r="966" spans="1:9" x14ac:dyDescent="0.2">
      <c r="A966" s="70">
        <v>44706</v>
      </c>
      <c r="B966" s="57">
        <v>2347</v>
      </c>
      <c r="C966" s="57">
        <v>2</v>
      </c>
      <c r="D966" s="57" t="s">
        <v>175</v>
      </c>
      <c r="E966" s="57">
        <v>0</v>
      </c>
      <c r="F966" s="57">
        <v>0.17</v>
      </c>
      <c r="G966" s="57">
        <v>7.9500000000000001E-2</v>
      </c>
      <c r="H966" s="57" t="s">
        <v>193</v>
      </c>
      <c r="I966" s="33">
        <f t="shared" si="3"/>
        <v>1.138364779874214</v>
      </c>
    </row>
    <row r="967" spans="1:9" x14ac:dyDescent="0.2">
      <c r="A967" s="70">
        <v>44708</v>
      </c>
      <c r="B967" s="57">
        <v>2006</v>
      </c>
      <c r="C967" s="57">
        <v>1</v>
      </c>
      <c r="D967" s="57" t="s">
        <v>175</v>
      </c>
      <c r="E967" s="57">
        <v>0</v>
      </c>
      <c r="F967" s="57">
        <v>0.1668</v>
      </c>
      <c r="G967" s="57">
        <v>7.8E-2</v>
      </c>
      <c r="H967" s="57" t="s">
        <v>193</v>
      </c>
      <c r="I967" s="33">
        <f t="shared" si="3"/>
        <v>1.1384615384615384</v>
      </c>
    </row>
    <row r="968" spans="1:9" x14ac:dyDescent="0.2">
      <c r="A968" s="70">
        <v>44650</v>
      </c>
      <c r="B968" s="57">
        <v>2009</v>
      </c>
      <c r="C968" s="57">
        <v>3</v>
      </c>
      <c r="D968" s="57" t="s">
        <v>175</v>
      </c>
      <c r="E968" s="57">
        <v>1</v>
      </c>
      <c r="F968" s="57">
        <v>0.67800000000000005</v>
      </c>
      <c r="G968" s="57">
        <v>0.317</v>
      </c>
      <c r="H968" s="57" t="s">
        <v>191</v>
      </c>
      <c r="I968" s="33">
        <f t="shared" si="3"/>
        <v>1.138801261829653</v>
      </c>
    </row>
    <row r="969" spans="1:9" x14ac:dyDescent="0.2">
      <c r="A969" s="70">
        <v>44690</v>
      </c>
      <c r="B969" s="57">
        <v>2004</v>
      </c>
      <c r="C969" s="57">
        <v>3</v>
      </c>
      <c r="D969" s="57" t="s">
        <v>192</v>
      </c>
      <c r="E969" s="57">
        <v>0</v>
      </c>
      <c r="F969" s="72">
        <v>0.57999999999999996</v>
      </c>
      <c r="G969" s="57">
        <v>0.27110000000000001</v>
      </c>
      <c r="I969" s="33">
        <f t="shared" si="3"/>
        <v>1.1394319439321281</v>
      </c>
    </row>
    <row r="970" spans="1:9" x14ac:dyDescent="0.2">
      <c r="A970" s="70">
        <v>44690</v>
      </c>
      <c r="B970" s="57">
        <v>2085</v>
      </c>
      <c r="C970" s="57">
        <v>2</v>
      </c>
      <c r="D970" s="57" t="s">
        <v>192</v>
      </c>
      <c r="E970" s="57">
        <v>0</v>
      </c>
      <c r="F970" s="57">
        <v>0.49109999999999998</v>
      </c>
      <c r="G970" s="57">
        <v>0.22950000000000001</v>
      </c>
      <c r="I970" s="33">
        <f t="shared" si="3"/>
        <v>1.1398692810457514</v>
      </c>
    </row>
    <row r="971" spans="1:9" x14ac:dyDescent="0.2">
      <c r="A971" s="70">
        <v>44665</v>
      </c>
      <c r="B971" s="57">
        <v>2007</v>
      </c>
      <c r="C971" s="57">
        <v>1</v>
      </c>
      <c r="D971" s="57" t="s">
        <v>175</v>
      </c>
      <c r="E971" s="57">
        <v>1</v>
      </c>
      <c r="F971" s="57">
        <v>9.5299999999999996E-2</v>
      </c>
      <c r="G971" s="57">
        <v>4.4499999999999998E-2</v>
      </c>
      <c r="H971" s="57" t="s">
        <v>191</v>
      </c>
      <c r="I971" s="33">
        <f t="shared" si="3"/>
        <v>1.1415730337078651</v>
      </c>
    </row>
    <row r="972" spans="1:9" x14ac:dyDescent="0.2">
      <c r="A972" s="70">
        <v>44665</v>
      </c>
      <c r="B972" s="57">
        <v>2360</v>
      </c>
      <c r="C972" s="57">
        <v>1</v>
      </c>
      <c r="D972" s="57" t="s">
        <v>192</v>
      </c>
      <c r="E972" s="57">
        <v>0</v>
      </c>
      <c r="F972" s="57">
        <v>1.4564999999999999</v>
      </c>
      <c r="G972" s="57">
        <v>0.68</v>
      </c>
      <c r="H972" s="57" t="s">
        <v>191</v>
      </c>
      <c r="I972" s="33">
        <f t="shared" si="3"/>
        <v>1.1419117647058821</v>
      </c>
    </row>
    <row r="973" spans="1:9" x14ac:dyDescent="0.2">
      <c r="A973" s="70">
        <v>44690</v>
      </c>
      <c r="B973" s="57">
        <v>2020</v>
      </c>
      <c r="C973" s="57">
        <v>3</v>
      </c>
      <c r="D973" s="57" t="s">
        <v>175</v>
      </c>
      <c r="E973" s="57">
        <v>0</v>
      </c>
      <c r="F973" s="57">
        <v>7.0699999999999999E-2</v>
      </c>
      <c r="G973" s="57">
        <v>3.3000000000000002E-2</v>
      </c>
      <c r="I973" s="33">
        <f t="shared" si="3"/>
        <v>1.1424242424242423</v>
      </c>
    </row>
    <row r="974" spans="1:9" x14ac:dyDescent="0.2">
      <c r="A974" s="70">
        <v>44684</v>
      </c>
      <c r="B974" s="57">
        <v>2367</v>
      </c>
      <c r="C974" s="57">
        <v>1</v>
      </c>
      <c r="D974" s="57" t="s">
        <v>192</v>
      </c>
      <c r="E974" s="57">
        <v>0</v>
      </c>
      <c r="F974" s="57">
        <v>0.85440000000000005</v>
      </c>
      <c r="G974" s="57">
        <v>0.3987</v>
      </c>
      <c r="H974" s="57" t="s">
        <v>196</v>
      </c>
      <c r="I974" s="33">
        <f t="shared" si="3"/>
        <v>1.142964635063958</v>
      </c>
    </row>
    <row r="975" spans="1:9" x14ac:dyDescent="0.2">
      <c r="A975" s="70">
        <v>44706</v>
      </c>
      <c r="B975" s="57">
        <v>2032</v>
      </c>
      <c r="C975" s="57">
        <v>2</v>
      </c>
      <c r="D975" s="57" t="s">
        <v>175</v>
      </c>
      <c r="E975" s="57">
        <v>0</v>
      </c>
      <c r="F975" s="57">
        <v>1.9300000000000001E-2</v>
      </c>
      <c r="G975" s="57">
        <v>8.9999999999999993E-3</v>
      </c>
      <c r="H975" s="57" t="s">
        <v>193</v>
      </c>
      <c r="I975" s="33">
        <f t="shared" si="3"/>
        <v>1.1444444444444448</v>
      </c>
    </row>
    <row r="976" spans="1:9" x14ac:dyDescent="0.2">
      <c r="A976" s="70">
        <v>44685</v>
      </c>
      <c r="B976" s="57">
        <v>2378</v>
      </c>
      <c r="C976" s="57">
        <v>3</v>
      </c>
      <c r="D976" s="57" t="s">
        <v>175</v>
      </c>
      <c r="E976" s="57">
        <v>0</v>
      </c>
      <c r="F976" s="57">
        <v>0.23810000000000001</v>
      </c>
      <c r="G976" s="57">
        <v>0.111</v>
      </c>
      <c r="I976" s="33">
        <f t="shared" si="3"/>
        <v>1.1450450450450449</v>
      </c>
    </row>
    <row r="977" spans="1:9" x14ac:dyDescent="0.2">
      <c r="A977" s="70">
        <v>44690</v>
      </c>
      <c r="B977" s="57">
        <v>2088</v>
      </c>
      <c r="C977" s="57">
        <v>3</v>
      </c>
      <c r="D977" s="57" t="s">
        <v>192</v>
      </c>
      <c r="E977" s="57">
        <v>0</v>
      </c>
      <c r="F977" s="57">
        <v>0.91320000000000001</v>
      </c>
      <c r="G977" s="57">
        <v>0.42570000000000002</v>
      </c>
      <c r="I977" s="33">
        <f t="shared" si="3"/>
        <v>1.1451726568005638</v>
      </c>
    </row>
    <row r="978" spans="1:9" x14ac:dyDescent="0.2">
      <c r="A978" s="70">
        <v>44690</v>
      </c>
      <c r="B978" s="57">
        <v>2087</v>
      </c>
      <c r="C978" s="57">
        <v>1</v>
      </c>
      <c r="D978" s="57" t="s">
        <v>192</v>
      </c>
      <c r="E978" s="57">
        <v>0</v>
      </c>
      <c r="F978" s="57">
        <v>0.747</v>
      </c>
      <c r="G978" s="57">
        <v>0.34820000000000001</v>
      </c>
      <c r="I978" s="33">
        <f t="shared" si="3"/>
        <v>1.1453187823090178</v>
      </c>
    </row>
    <row r="979" spans="1:9" x14ac:dyDescent="0.2">
      <c r="A979" s="70">
        <v>44685</v>
      </c>
      <c r="B979" s="57">
        <v>2379</v>
      </c>
      <c r="C979" s="57">
        <v>2</v>
      </c>
      <c r="D979" s="57" t="s">
        <v>175</v>
      </c>
      <c r="E979" s="57">
        <v>0</v>
      </c>
      <c r="F979" s="57">
        <v>0.1908</v>
      </c>
      <c r="G979" s="57">
        <v>8.8900000000000007E-2</v>
      </c>
      <c r="I979" s="33">
        <f t="shared" si="3"/>
        <v>1.1462317210348705</v>
      </c>
    </row>
    <row r="980" spans="1:9" x14ac:dyDescent="0.2">
      <c r="A980" s="70">
        <v>44706</v>
      </c>
      <c r="B980" s="57">
        <v>2370</v>
      </c>
      <c r="C980" s="57">
        <v>2</v>
      </c>
      <c r="D980" s="57" t="s">
        <v>192</v>
      </c>
      <c r="E980" s="57">
        <v>0</v>
      </c>
      <c r="F980" s="57">
        <v>0.29189999999999999</v>
      </c>
      <c r="G980" s="57">
        <v>0.13600000000000001</v>
      </c>
      <c r="H980" s="57" t="s">
        <v>193</v>
      </c>
      <c r="I980" s="33">
        <f t="shared" si="3"/>
        <v>1.1463235294117644</v>
      </c>
    </row>
    <row r="981" spans="1:9" x14ac:dyDescent="0.2">
      <c r="A981" s="70">
        <v>44706</v>
      </c>
      <c r="B981" s="57">
        <v>2347</v>
      </c>
      <c r="C981" s="57">
        <v>1</v>
      </c>
      <c r="D981" s="57" t="s">
        <v>175</v>
      </c>
      <c r="E981" s="57">
        <v>0</v>
      </c>
      <c r="F981" s="57">
        <v>9.6600000000000005E-2</v>
      </c>
      <c r="G981" s="57">
        <v>4.4999999999999998E-2</v>
      </c>
      <c r="H981" s="57" t="s">
        <v>193</v>
      </c>
      <c r="I981" s="33">
        <f t="shared" si="3"/>
        <v>1.1466666666666669</v>
      </c>
    </row>
    <row r="982" spans="1:9" x14ac:dyDescent="0.2">
      <c r="A982" s="70">
        <v>44662</v>
      </c>
      <c r="B982" s="57">
        <v>2090</v>
      </c>
      <c r="C982" s="57">
        <v>1</v>
      </c>
      <c r="D982" s="57" t="s">
        <v>175</v>
      </c>
      <c r="E982" s="57">
        <v>1</v>
      </c>
      <c r="F982" s="57">
        <v>0.30709999999999998</v>
      </c>
      <c r="G982" s="57">
        <v>0.14299999999999999</v>
      </c>
      <c r="H982" s="57" t="s">
        <v>191</v>
      </c>
      <c r="I982" s="33">
        <f t="shared" si="3"/>
        <v>1.1475524475524477</v>
      </c>
    </row>
    <row r="983" spans="1:9" x14ac:dyDescent="0.2">
      <c r="A983" s="70">
        <v>44706</v>
      </c>
      <c r="B983" s="57">
        <v>2375</v>
      </c>
      <c r="C983" s="57">
        <v>3</v>
      </c>
      <c r="D983" s="57" t="s">
        <v>192</v>
      </c>
      <c r="E983" s="57">
        <v>0</v>
      </c>
      <c r="F983" s="57">
        <v>1.1447000000000001</v>
      </c>
      <c r="G983" s="57">
        <v>0.53300000000000003</v>
      </c>
      <c r="H983" s="57" t="s">
        <v>193</v>
      </c>
      <c r="I983" s="33">
        <f t="shared" si="3"/>
        <v>1.1476547842401501</v>
      </c>
    </row>
    <row r="984" spans="1:9" x14ac:dyDescent="0.2">
      <c r="A984" s="70">
        <v>44706</v>
      </c>
      <c r="B984" s="57">
        <v>2370</v>
      </c>
      <c r="C984" s="57">
        <v>1</v>
      </c>
      <c r="D984" s="57" t="s">
        <v>175</v>
      </c>
      <c r="E984" s="57">
        <v>1</v>
      </c>
      <c r="F984" s="57">
        <v>0.45960000000000001</v>
      </c>
      <c r="G984" s="57">
        <v>0.214</v>
      </c>
      <c r="H984" s="57" t="s">
        <v>193</v>
      </c>
      <c r="I984" s="33">
        <f t="shared" si="3"/>
        <v>1.1476635514018692</v>
      </c>
    </row>
    <row r="985" spans="1:9" x14ac:dyDescent="0.2">
      <c r="A985" s="70">
        <v>44690</v>
      </c>
      <c r="B985" s="57">
        <v>2087</v>
      </c>
      <c r="C985" s="57">
        <v>3</v>
      </c>
      <c r="D985" s="57" t="s">
        <v>175</v>
      </c>
      <c r="E985" s="57">
        <v>1</v>
      </c>
      <c r="F985" s="57">
        <v>0.61760000000000004</v>
      </c>
      <c r="G985" s="57">
        <v>0.28739999999999999</v>
      </c>
      <c r="I985" s="33">
        <f t="shared" si="3"/>
        <v>1.1489213639526794</v>
      </c>
    </row>
    <row r="986" spans="1:9" x14ac:dyDescent="0.2">
      <c r="A986" s="70">
        <v>44665</v>
      </c>
      <c r="B986" s="57">
        <v>2005</v>
      </c>
      <c r="C986" s="57">
        <v>1</v>
      </c>
      <c r="D986" s="57" t="s">
        <v>175</v>
      </c>
      <c r="E986" s="57">
        <v>1</v>
      </c>
      <c r="F986" s="57">
        <v>0.26800000000000002</v>
      </c>
      <c r="G986" s="57">
        <v>0.12470000000000001</v>
      </c>
      <c r="H986" s="57" t="s">
        <v>191</v>
      </c>
      <c r="I986" s="33">
        <f t="shared" si="3"/>
        <v>1.14915797914996</v>
      </c>
    </row>
    <row r="987" spans="1:9" x14ac:dyDescent="0.2">
      <c r="A987" s="70">
        <v>44665</v>
      </c>
      <c r="B987" s="57">
        <v>2369</v>
      </c>
      <c r="C987" s="57">
        <v>1</v>
      </c>
      <c r="D987" s="57" t="s">
        <v>192</v>
      </c>
      <c r="E987" s="57">
        <v>0</v>
      </c>
      <c r="F987" s="57">
        <v>0.53820000000000001</v>
      </c>
      <c r="G987" s="57">
        <v>0.25040000000000001</v>
      </c>
      <c r="H987" s="57" t="s">
        <v>191</v>
      </c>
      <c r="I987" s="33">
        <f t="shared" si="3"/>
        <v>1.1493610223642172</v>
      </c>
    </row>
    <row r="988" spans="1:9" x14ac:dyDescent="0.2">
      <c r="A988" s="70">
        <v>44665</v>
      </c>
      <c r="B988" s="57">
        <v>2010</v>
      </c>
      <c r="C988" s="57">
        <v>2</v>
      </c>
      <c r="D988" s="57" t="s">
        <v>192</v>
      </c>
      <c r="E988" s="57">
        <v>0</v>
      </c>
      <c r="F988" s="57">
        <v>1.6937</v>
      </c>
      <c r="G988" s="57">
        <v>0.78800000000000003</v>
      </c>
      <c r="H988" s="57" t="s">
        <v>191</v>
      </c>
      <c r="I988" s="33">
        <f t="shared" si="3"/>
        <v>1.1493654822335024</v>
      </c>
    </row>
    <row r="989" spans="1:9" x14ac:dyDescent="0.2">
      <c r="A989" s="70">
        <v>44706</v>
      </c>
      <c r="B989" s="57">
        <v>2381</v>
      </c>
      <c r="C989" s="57">
        <v>1</v>
      </c>
      <c r="D989" s="57" t="s">
        <v>192</v>
      </c>
      <c r="E989" s="57">
        <v>0</v>
      </c>
      <c r="F989" s="57">
        <v>0.10970000000000001</v>
      </c>
      <c r="G989" s="57">
        <v>5.0999999999999997E-2</v>
      </c>
      <c r="H989" s="57" t="s">
        <v>193</v>
      </c>
      <c r="I989" s="33">
        <f t="shared" si="3"/>
        <v>1.1509803921568631</v>
      </c>
    </row>
    <row r="990" spans="1:9" x14ac:dyDescent="0.2">
      <c r="A990" s="70">
        <v>44684</v>
      </c>
      <c r="B990" s="57">
        <v>2346</v>
      </c>
      <c r="C990" s="57">
        <v>1</v>
      </c>
      <c r="D990" s="57" t="s">
        <v>175</v>
      </c>
      <c r="E990" s="57">
        <v>0</v>
      </c>
      <c r="F990" s="57">
        <v>5.6800000000000003E-2</v>
      </c>
      <c r="G990" s="57">
        <v>2.64E-2</v>
      </c>
      <c r="H990" s="57" t="s">
        <v>196</v>
      </c>
      <c r="I990" s="33">
        <f t="shared" si="3"/>
        <v>1.1515151515151516</v>
      </c>
    </row>
    <row r="991" spans="1:9" x14ac:dyDescent="0.2">
      <c r="A991" s="70">
        <v>44684</v>
      </c>
      <c r="B991" s="57">
        <v>2343</v>
      </c>
      <c r="C991" s="57">
        <v>2</v>
      </c>
      <c r="D991" s="57" t="s">
        <v>175</v>
      </c>
      <c r="E991" s="57">
        <v>0</v>
      </c>
      <c r="F991" s="57">
        <v>0.21429999999999999</v>
      </c>
      <c r="G991" s="57">
        <v>9.9599999999999994E-2</v>
      </c>
      <c r="H991" s="57" t="s">
        <v>196</v>
      </c>
      <c r="I991" s="33">
        <f t="shared" si="3"/>
        <v>1.1516064257028114</v>
      </c>
    </row>
    <row r="992" spans="1:9" x14ac:dyDescent="0.2">
      <c r="A992" s="70">
        <v>44706</v>
      </c>
      <c r="B992" s="57">
        <v>2011</v>
      </c>
      <c r="C992" s="57">
        <v>3</v>
      </c>
      <c r="D992" s="57" t="s">
        <v>175</v>
      </c>
      <c r="E992" s="57">
        <v>0</v>
      </c>
      <c r="F992" s="57">
        <v>9.9000000000000005E-2</v>
      </c>
      <c r="G992" s="57">
        <v>4.5999999999999999E-2</v>
      </c>
      <c r="H992" s="57" t="s">
        <v>193</v>
      </c>
      <c r="I992" s="33">
        <f t="shared" si="3"/>
        <v>1.1521739130434785</v>
      </c>
    </row>
    <row r="993" spans="1:9" x14ac:dyDescent="0.2">
      <c r="A993" s="70">
        <v>44685</v>
      </c>
      <c r="B993" s="57">
        <v>2343</v>
      </c>
      <c r="C993" s="57">
        <v>3</v>
      </c>
      <c r="D993" s="57" t="s">
        <v>175</v>
      </c>
      <c r="E993" s="57">
        <v>0</v>
      </c>
      <c r="F993" s="57">
        <v>7.7299999999999994E-2</v>
      </c>
      <c r="G993" s="57">
        <v>3.5900000000000001E-2</v>
      </c>
      <c r="I993" s="33">
        <f t="shared" si="3"/>
        <v>1.1532033426183841</v>
      </c>
    </row>
    <row r="994" spans="1:9" x14ac:dyDescent="0.2">
      <c r="A994" s="70">
        <v>44650</v>
      </c>
      <c r="B994" s="57">
        <v>2379</v>
      </c>
      <c r="C994" s="57">
        <v>1</v>
      </c>
      <c r="D994" s="57" t="s">
        <v>192</v>
      </c>
      <c r="E994" s="57" t="s">
        <v>60</v>
      </c>
      <c r="F994" s="57">
        <v>0.2175</v>
      </c>
      <c r="G994" s="57">
        <v>0.10100000000000001</v>
      </c>
      <c r="H994" s="57" t="s">
        <v>191</v>
      </c>
      <c r="I994" s="33">
        <f t="shared" si="3"/>
        <v>1.1534653465346534</v>
      </c>
    </row>
    <row r="995" spans="1:9" x14ac:dyDescent="0.2">
      <c r="A995" s="70">
        <v>44665</v>
      </c>
      <c r="B995" s="57">
        <v>2381</v>
      </c>
      <c r="C995" s="57">
        <v>1</v>
      </c>
      <c r="D995" s="57" t="s">
        <v>192</v>
      </c>
      <c r="E995" s="57">
        <v>0</v>
      </c>
      <c r="F995" s="57">
        <v>2.0931000000000002</v>
      </c>
      <c r="G995" s="57">
        <v>0.9718</v>
      </c>
      <c r="H995" s="57" t="s">
        <v>191</v>
      </c>
      <c r="I995" s="33">
        <f t="shared" si="3"/>
        <v>1.1538382383206423</v>
      </c>
    </row>
    <row r="996" spans="1:9" x14ac:dyDescent="0.2">
      <c r="A996" s="70">
        <v>44665</v>
      </c>
      <c r="B996" s="57">
        <v>2381</v>
      </c>
      <c r="C996" s="57">
        <v>2</v>
      </c>
      <c r="D996" s="57" t="s">
        <v>175</v>
      </c>
      <c r="E996" s="57">
        <v>1</v>
      </c>
      <c r="F996" s="57">
        <v>0.30420000000000003</v>
      </c>
      <c r="G996" s="57">
        <v>0.14119999999999999</v>
      </c>
      <c r="H996" s="57" t="s">
        <v>191</v>
      </c>
      <c r="I996" s="33">
        <f t="shared" si="3"/>
        <v>1.154390934844193</v>
      </c>
    </row>
    <row r="997" spans="1:9" x14ac:dyDescent="0.2">
      <c r="A997" s="70">
        <v>44690</v>
      </c>
      <c r="B997" s="57">
        <v>2012</v>
      </c>
      <c r="C997" s="57">
        <v>3</v>
      </c>
      <c r="D997" s="57" t="s">
        <v>192</v>
      </c>
      <c r="E997" s="57">
        <v>0</v>
      </c>
      <c r="F997" s="57">
        <v>0.49540000000000001</v>
      </c>
      <c r="G997" s="57">
        <v>0.2298</v>
      </c>
      <c r="I997" s="33">
        <f t="shared" si="3"/>
        <v>1.155787641427328</v>
      </c>
    </row>
    <row r="998" spans="1:9" x14ac:dyDescent="0.2">
      <c r="A998" s="70">
        <v>44690</v>
      </c>
      <c r="B998" s="57">
        <v>2090</v>
      </c>
      <c r="C998" s="57">
        <v>3</v>
      </c>
      <c r="D998" s="57" t="s">
        <v>192</v>
      </c>
      <c r="E998" s="57">
        <v>0</v>
      </c>
      <c r="F998" s="57">
        <v>0.97299999999999998</v>
      </c>
      <c r="G998" s="57">
        <v>0.45119999999999999</v>
      </c>
      <c r="I998" s="33">
        <f t="shared" si="3"/>
        <v>1.156471631205674</v>
      </c>
    </row>
    <row r="999" spans="1:9" x14ac:dyDescent="0.2">
      <c r="A999" s="70">
        <v>44690</v>
      </c>
      <c r="B999" s="57">
        <v>2093</v>
      </c>
      <c r="C999" s="57">
        <v>2</v>
      </c>
      <c r="D999" s="57" t="s">
        <v>192</v>
      </c>
      <c r="E999" s="57">
        <v>0</v>
      </c>
      <c r="F999" s="57">
        <v>2.2081</v>
      </c>
      <c r="G999" s="57">
        <v>1.0237000000000001</v>
      </c>
      <c r="I999" s="33">
        <f t="shared" si="3"/>
        <v>1.1569795838624595</v>
      </c>
    </row>
    <row r="1000" spans="1:9" x14ac:dyDescent="0.2">
      <c r="A1000" s="70">
        <v>44684</v>
      </c>
      <c r="B1000" s="57">
        <v>2009</v>
      </c>
      <c r="C1000" s="57">
        <v>2</v>
      </c>
      <c r="D1000" s="57" t="s">
        <v>175</v>
      </c>
      <c r="E1000" s="57">
        <v>0</v>
      </c>
      <c r="F1000" s="57">
        <v>0.21429999999999999</v>
      </c>
      <c r="G1000" s="57">
        <v>9.9299999999999999E-2</v>
      </c>
      <c r="H1000" s="57" t="s">
        <v>196</v>
      </c>
      <c r="I1000" s="33">
        <f t="shared" si="3"/>
        <v>1.1581067472306141</v>
      </c>
    </row>
    <row r="1001" spans="1:9" x14ac:dyDescent="0.2">
      <c r="A1001" s="70">
        <v>44706</v>
      </c>
      <c r="B1001" s="57">
        <v>2382</v>
      </c>
      <c r="C1001" s="57">
        <v>3</v>
      </c>
      <c r="D1001" s="57" t="s">
        <v>175</v>
      </c>
      <c r="E1001" s="57">
        <v>0</v>
      </c>
      <c r="F1001" s="57">
        <v>8.4199999999999997E-2</v>
      </c>
      <c r="G1001" s="57">
        <v>3.9E-2</v>
      </c>
      <c r="H1001" s="57" t="s">
        <v>193</v>
      </c>
      <c r="I1001" s="33">
        <f t="shared" si="3"/>
        <v>1.1589743589743589</v>
      </c>
    </row>
    <row r="1002" spans="1:9" x14ac:dyDescent="0.2">
      <c r="A1002" s="70">
        <v>44706</v>
      </c>
      <c r="B1002" s="57">
        <v>2024</v>
      </c>
      <c r="C1002" s="57">
        <v>3</v>
      </c>
      <c r="D1002" s="57" t="s">
        <v>175</v>
      </c>
      <c r="E1002" s="57">
        <v>0</v>
      </c>
      <c r="F1002" s="57">
        <v>9.7600000000000006E-2</v>
      </c>
      <c r="G1002" s="57">
        <v>4.5100000000000001E-2</v>
      </c>
      <c r="H1002" s="57" t="s">
        <v>193</v>
      </c>
      <c r="I1002" s="33">
        <f t="shared" si="3"/>
        <v>1.164079822616408</v>
      </c>
    </row>
    <row r="1003" spans="1:9" x14ac:dyDescent="0.2">
      <c r="A1003" s="70">
        <v>44690</v>
      </c>
      <c r="B1003" s="57">
        <v>2013</v>
      </c>
      <c r="C1003" s="57">
        <v>3</v>
      </c>
      <c r="D1003" s="57" t="s">
        <v>175</v>
      </c>
      <c r="E1003" s="57">
        <v>1</v>
      </c>
      <c r="F1003" s="57">
        <v>0.52600000000000002</v>
      </c>
      <c r="G1003" s="57">
        <v>0.24299999999999999</v>
      </c>
      <c r="I1003" s="33">
        <f t="shared" si="3"/>
        <v>1.1646090534979425</v>
      </c>
    </row>
    <row r="1004" spans="1:9" x14ac:dyDescent="0.2">
      <c r="A1004" s="70">
        <v>44706</v>
      </c>
      <c r="B1004" s="57">
        <v>2346</v>
      </c>
      <c r="C1004" s="57">
        <v>3</v>
      </c>
      <c r="D1004" s="57" t="s">
        <v>192</v>
      </c>
      <c r="E1004" s="57">
        <v>0</v>
      </c>
      <c r="F1004" s="57">
        <v>0.56289999999999996</v>
      </c>
      <c r="G1004" s="57">
        <v>0.26</v>
      </c>
      <c r="H1004" s="57" t="s">
        <v>193</v>
      </c>
      <c r="I1004" s="33">
        <f t="shared" si="3"/>
        <v>1.1649999999999998</v>
      </c>
    </row>
    <row r="1005" spans="1:9" x14ac:dyDescent="0.2">
      <c r="A1005" s="70">
        <v>44690</v>
      </c>
      <c r="B1005" s="57">
        <v>2015</v>
      </c>
      <c r="C1005" s="57">
        <v>1</v>
      </c>
      <c r="D1005" s="57" t="s">
        <v>175</v>
      </c>
      <c r="E1005" s="57">
        <v>1</v>
      </c>
      <c r="F1005" s="57">
        <v>9.9599999999999994E-2</v>
      </c>
      <c r="G1005" s="57">
        <v>4.5999999999999999E-2</v>
      </c>
      <c r="I1005" s="33">
        <f t="shared" si="3"/>
        <v>1.1652173913043478</v>
      </c>
    </row>
    <row r="1006" spans="1:9" x14ac:dyDescent="0.2">
      <c r="A1006" s="70">
        <v>44706</v>
      </c>
      <c r="B1006" s="57">
        <v>2010</v>
      </c>
      <c r="C1006" s="57">
        <v>1</v>
      </c>
      <c r="D1006" s="57" t="s">
        <v>192</v>
      </c>
      <c r="E1006" s="57">
        <v>0</v>
      </c>
      <c r="F1006" s="57">
        <v>0.82499999999999996</v>
      </c>
      <c r="G1006" s="57">
        <v>0.38100000000000001</v>
      </c>
      <c r="H1006" s="57" t="s">
        <v>193</v>
      </c>
      <c r="I1006" s="33">
        <f t="shared" si="3"/>
        <v>1.1653543307086613</v>
      </c>
    </row>
    <row r="1007" spans="1:9" x14ac:dyDescent="0.2">
      <c r="A1007" s="70">
        <v>44690</v>
      </c>
      <c r="B1007" s="57">
        <v>2022</v>
      </c>
      <c r="C1007" s="57">
        <v>3</v>
      </c>
      <c r="D1007" s="57" t="s">
        <v>192</v>
      </c>
      <c r="E1007" s="57">
        <v>0</v>
      </c>
      <c r="F1007" s="57">
        <v>0.20899999999999999</v>
      </c>
      <c r="G1007" s="57">
        <v>9.6500000000000002E-2</v>
      </c>
      <c r="I1007" s="33">
        <f t="shared" si="3"/>
        <v>1.1658031088082901</v>
      </c>
    </row>
    <row r="1008" spans="1:9" x14ac:dyDescent="0.2">
      <c r="A1008" s="70">
        <v>44685</v>
      </c>
      <c r="B1008" s="57">
        <v>2379</v>
      </c>
      <c r="C1008" s="57">
        <v>3</v>
      </c>
      <c r="D1008" s="57" t="s">
        <v>175</v>
      </c>
      <c r="E1008" s="57">
        <v>0</v>
      </c>
      <c r="F1008" s="57">
        <v>4.8099999999999997E-2</v>
      </c>
      <c r="G1008" s="57">
        <v>2.2200000000000001E-2</v>
      </c>
      <c r="I1008" s="33">
        <f t="shared" si="3"/>
        <v>1.1666666666666665</v>
      </c>
    </row>
    <row r="1009" spans="1:9" x14ac:dyDescent="0.2">
      <c r="A1009" s="70">
        <v>44650</v>
      </c>
      <c r="B1009" s="57">
        <v>2378</v>
      </c>
      <c r="C1009" s="57">
        <v>3</v>
      </c>
      <c r="D1009" s="57" t="s">
        <v>192</v>
      </c>
      <c r="E1009" s="57" t="s">
        <v>60</v>
      </c>
      <c r="F1009" s="57">
        <v>0.27300000000000002</v>
      </c>
      <c r="G1009" s="57">
        <v>0.126</v>
      </c>
      <c r="H1009" s="57" t="s">
        <v>191</v>
      </c>
      <c r="I1009" s="33">
        <f t="shared" si="3"/>
        <v>1.1666666666666667</v>
      </c>
    </row>
    <row r="1010" spans="1:9" x14ac:dyDescent="0.2">
      <c r="A1010" s="70">
        <v>44706</v>
      </c>
      <c r="B1010" s="57">
        <v>2346</v>
      </c>
      <c r="C1010" s="57">
        <v>3</v>
      </c>
      <c r="D1010" s="57" t="s">
        <v>175</v>
      </c>
      <c r="E1010" s="57">
        <v>1</v>
      </c>
      <c r="F1010" s="57">
        <v>0.2341</v>
      </c>
      <c r="G1010" s="57">
        <v>0.108</v>
      </c>
      <c r="H1010" s="57" t="s">
        <v>193</v>
      </c>
      <c r="I1010" s="33">
        <f t="shared" si="3"/>
        <v>1.1675925925925925</v>
      </c>
    </row>
    <row r="1011" spans="1:9" x14ac:dyDescent="0.2">
      <c r="A1011" s="70">
        <v>44662</v>
      </c>
      <c r="B1011" s="57">
        <v>2090</v>
      </c>
      <c r="C1011" s="57">
        <v>1</v>
      </c>
      <c r="D1011" s="57" t="s">
        <v>192</v>
      </c>
      <c r="E1011" s="57">
        <v>0</v>
      </c>
      <c r="F1011" s="57">
        <v>1.7516</v>
      </c>
      <c r="G1011" s="57">
        <v>0.80779999999999996</v>
      </c>
      <c r="H1011" s="57" t="s">
        <v>191</v>
      </c>
      <c r="I1011" s="33">
        <f t="shared" si="3"/>
        <v>1.1683585045803417</v>
      </c>
    </row>
    <row r="1012" spans="1:9" x14ac:dyDescent="0.2">
      <c r="A1012" s="70">
        <v>44665</v>
      </c>
      <c r="B1012" s="57">
        <v>2004</v>
      </c>
      <c r="C1012" s="57">
        <v>2</v>
      </c>
      <c r="D1012" s="57" t="s">
        <v>175</v>
      </c>
      <c r="E1012" s="57">
        <v>1</v>
      </c>
      <c r="F1012" s="57">
        <v>0.20319999999999999</v>
      </c>
      <c r="G1012" s="57">
        <v>9.3700000000000006E-2</v>
      </c>
      <c r="H1012" s="57" t="s">
        <v>191</v>
      </c>
      <c r="I1012" s="33">
        <f t="shared" si="3"/>
        <v>1.1686232657417288</v>
      </c>
    </row>
    <row r="1013" spans="1:9" x14ac:dyDescent="0.2">
      <c r="A1013" s="70">
        <v>44704</v>
      </c>
      <c r="B1013" s="57">
        <v>2021</v>
      </c>
      <c r="C1013" s="57">
        <v>2</v>
      </c>
      <c r="D1013" s="57" t="s">
        <v>175</v>
      </c>
      <c r="E1013" s="57">
        <v>0</v>
      </c>
      <c r="F1013" s="57">
        <v>3.4700000000000002E-2</v>
      </c>
      <c r="G1013" s="57">
        <v>1.6E-2</v>
      </c>
      <c r="I1013" s="33">
        <f t="shared" si="3"/>
        <v>1.16875</v>
      </c>
    </row>
    <row r="1014" spans="1:9" x14ac:dyDescent="0.2">
      <c r="A1014" s="70">
        <v>44706</v>
      </c>
      <c r="B1014" s="57">
        <v>2346</v>
      </c>
      <c r="C1014" s="57">
        <v>1</v>
      </c>
      <c r="D1014" s="57" t="s">
        <v>175</v>
      </c>
      <c r="E1014" s="57">
        <v>0</v>
      </c>
      <c r="F1014" s="57">
        <v>6.2899999999999998E-2</v>
      </c>
      <c r="G1014" s="57">
        <v>2.9000000000000001E-2</v>
      </c>
      <c r="H1014" s="57" t="s">
        <v>193</v>
      </c>
      <c r="I1014" s="33">
        <f t="shared" si="3"/>
        <v>1.1689655172413793</v>
      </c>
    </row>
    <row r="1015" spans="1:9" x14ac:dyDescent="0.2">
      <c r="A1015" s="70">
        <v>44690</v>
      </c>
      <c r="B1015" s="57">
        <v>2012</v>
      </c>
      <c r="C1015" s="57">
        <v>3</v>
      </c>
      <c r="D1015" s="57" t="s">
        <v>175</v>
      </c>
      <c r="E1015" s="57">
        <v>1</v>
      </c>
      <c r="F1015" s="57">
        <v>0.24490000000000001</v>
      </c>
      <c r="G1015" s="57">
        <v>0.1129</v>
      </c>
      <c r="I1015" s="33">
        <f t="shared" si="3"/>
        <v>1.1691762621789195</v>
      </c>
    </row>
    <row r="1016" spans="1:9" x14ac:dyDescent="0.2">
      <c r="A1016" s="70">
        <v>44685</v>
      </c>
      <c r="B1016" s="57">
        <v>2011</v>
      </c>
      <c r="C1016" s="57">
        <v>2</v>
      </c>
      <c r="D1016" s="57" t="s">
        <v>175</v>
      </c>
      <c r="E1016" s="57">
        <v>0</v>
      </c>
      <c r="F1016" s="57">
        <v>0.1137</v>
      </c>
      <c r="G1016" s="57">
        <v>5.2400000000000002E-2</v>
      </c>
      <c r="I1016" s="33">
        <f t="shared" si="3"/>
        <v>1.1698473282442747</v>
      </c>
    </row>
    <row r="1017" spans="1:9" x14ac:dyDescent="0.2">
      <c r="A1017" s="70">
        <v>44662</v>
      </c>
      <c r="B1017" s="57">
        <v>2086</v>
      </c>
      <c r="C1017" s="57">
        <v>1</v>
      </c>
      <c r="D1017" s="57" t="s">
        <v>175</v>
      </c>
      <c r="E1017" s="57">
        <v>1</v>
      </c>
      <c r="F1017" s="57">
        <v>0.1172</v>
      </c>
      <c r="G1017" s="57">
        <v>5.3999999999999999E-2</v>
      </c>
      <c r="H1017" s="57" t="s">
        <v>191</v>
      </c>
      <c r="I1017" s="33">
        <f t="shared" si="3"/>
        <v>1.1703703703703705</v>
      </c>
    </row>
    <row r="1018" spans="1:9" x14ac:dyDescent="0.2">
      <c r="A1018" s="70">
        <v>44665</v>
      </c>
      <c r="B1018" s="57">
        <v>2381</v>
      </c>
      <c r="C1018" s="57">
        <v>3</v>
      </c>
      <c r="D1018" s="57" t="s">
        <v>175</v>
      </c>
      <c r="E1018" s="57">
        <v>0</v>
      </c>
      <c r="F1018" s="57">
        <v>0.35799999999999998</v>
      </c>
      <c r="G1018" s="57">
        <v>0.16489999999999999</v>
      </c>
      <c r="H1018" s="57" t="s">
        <v>191</v>
      </c>
      <c r="I1018" s="33">
        <f t="shared" si="3"/>
        <v>1.1710127349909036</v>
      </c>
    </row>
    <row r="1019" spans="1:9" x14ac:dyDescent="0.2">
      <c r="A1019" s="70">
        <v>44662</v>
      </c>
      <c r="B1019" s="57">
        <v>2088</v>
      </c>
      <c r="C1019" s="57">
        <v>1</v>
      </c>
      <c r="D1019" s="57" t="s">
        <v>192</v>
      </c>
      <c r="E1019" s="57">
        <v>0</v>
      </c>
      <c r="F1019" s="57">
        <v>0.82730000000000004</v>
      </c>
      <c r="G1019" s="57">
        <v>0.38100000000000001</v>
      </c>
      <c r="H1019" s="57" t="s">
        <v>191</v>
      </c>
      <c r="I1019" s="33">
        <f t="shared" si="3"/>
        <v>1.1713910761154855</v>
      </c>
    </row>
    <row r="1020" spans="1:9" x14ac:dyDescent="0.2">
      <c r="A1020" s="70">
        <v>44685</v>
      </c>
      <c r="B1020" s="57">
        <v>2372</v>
      </c>
      <c r="C1020" s="57">
        <v>1</v>
      </c>
      <c r="D1020" s="57" t="s">
        <v>175</v>
      </c>
      <c r="E1020" s="57">
        <v>0</v>
      </c>
      <c r="F1020" s="57">
        <v>0.17050000000000001</v>
      </c>
      <c r="G1020" s="57">
        <v>7.85E-2</v>
      </c>
      <c r="I1020" s="33">
        <f t="shared" si="3"/>
        <v>1.1719745222929938</v>
      </c>
    </row>
    <row r="1021" spans="1:9" x14ac:dyDescent="0.2">
      <c r="A1021" s="70">
        <v>44690</v>
      </c>
      <c r="B1021" s="57">
        <v>2012</v>
      </c>
      <c r="C1021" s="57">
        <v>1</v>
      </c>
      <c r="D1021" s="57" t="s">
        <v>192</v>
      </c>
      <c r="E1021" s="57">
        <v>0</v>
      </c>
      <c r="F1021" s="57">
        <v>0.58630000000000004</v>
      </c>
      <c r="G1021" s="57">
        <v>0.26989999999999997</v>
      </c>
      <c r="I1021" s="33">
        <f t="shared" si="3"/>
        <v>1.1722860318636537</v>
      </c>
    </row>
    <row r="1022" spans="1:9" x14ac:dyDescent="0.2">
      <c r="A1022" s="70">
        <v>44685</v>
      </c>
      <c r="B1022" s="57">
        <v>2370</v>
      </c>
      <c r="C1022" s="57">
        <v>2</v>
      </c>
      <c r="D1022" s="57" t="s">
        <v>175</v>
      </c>
      <c r="E1022" s="57">
        <v>0</v>
      </c>
      <c r="F1022" s="57">
        <v>6.93E-2</v>
      </c>
      <c r="G1022" s="57">
        <v>3.1899999999999998E-2</v>
      </c>
      <c r="I1022" s="33">
        <f t="shared" ref="I1022:I1276" si="4">((F1022-G1022)/G1022)</f>
        <v>1.1724137931034484</v>
      </c>
    </row>
    <row r="1023" spans="1:9" x14ac:dyDescent="0.2">
      <c r="A1023" s="70">
        <v>44650</v>
      </c>
      <c r="B1023" s="57">
        <v>2371</v>
      </c>
      <c r="C1023" s="57">
        <v>3</v>
      </c>
      <c r="D1023" s="57" t="s">
        <v>175</v>
      </c>
      <c r="E1023" s="57">
        <v>1</v>
      </c>
      <c r="F1023" s="57">
        <v>0.60850000000000004</v>
      </c>
      <c r="G1023" s="57">
        <v>0.28000000000000003</v>
      </c>
      <c r="H1023" s="57" t="s">
        <v>191</v>
      </c>
      <c r="I1023" s="33">
        <f t="shared" si="4"/>
        <v>1.1732142857142855</v>
      </c>
    </row>
    <row r="1024" spans="1:9" x14ac:dyDescent="0.2">
      <c r="A1024" s="70">
        <v>44690</v>
      </c>
      <c r="B1024" s="57">
        <v>2012</v>
      </c>
      <c r="C1024" s="57">
        <v>2</v>
      </c>
      <c r="D1024" s="57" t="s">
        <v>175</v>
      </c>
      <c r="E1024" s="57">
        <v>1</v>
      </c>
      <c r="F1024" s="57">
        <v>0.27650000000000002</v>
      </c>
      <c r="G1024" s="57">
        <v>0.12720000000000001</v>
      </c>
      <c r="I1024" s="33">
        <f t="shared" si="4"/>
        <v>1.1737421383647799</v>
      </c>
    </row>
    <row r="1025" spans="1:9" x14ac:dyDescent="0.2">
      <c r="A1025" s="70">
        <v>44690</v>
      </c>
      <c r="B1025" s="57">
        <v>2085</v>
      </c>
      <c r="C1025" s="57">
        <v>2</v>
      </c>
      <c r="D1025" s="57" t="s">
        <v>175</v>
      </c>
      <c r="E1025" s="57">
        <v>1</v>
      </c>
      <c r="F1025" s="57">
        <v>0.19350000000000001</v>
      </c>
      <c r="G1025" s="57">
        <v>8.8900000000000007E-2</v>
      </c>
      <c r="I1025" s="33">
        <f t="shared" si="4"/>
        <v>1.1766029246344205</v>
      </c>
    </row>
    <row r="1026" spans="1:9" x14ac:dyDescent="0.2">
      <c r="A1026" s="70">
        <v>44690</v>
      </c>
      <c r="B1026" s="57">
        <v>2029</v>
      </c>
      <c r="C1026" s="57">
        <v>2</v>
      </c>
      <c r="D1026" s="57" t="s">
        <v>175</v>
      </c>
      <c r="E1026" s="57">
        <v>0</v>
      </c>
      <c r="F1026" s="57">
        <v>6.1600000000000002E-2</v>
      </c>
      <c r="G1026" s="57">
        <v>2.8299999999999999E-2</v>
      </c>
      <c r="I1026" s="33">
        <f t="shared" si="4"/>
        <v>1.1766784452296821</v>
      </c>
    </row>
    <row r="1027" spans="1:9" x14ac:dyDescent="0.2">
      <c r="A1027" s="70">
        <v>44690</v>
      </c>
      <c r="B1027" s="57">
        <v>2086</v>
      </c>
      <c r="C1027" s="57">
        <v>2</v>
      </c>
      <c r="D1027" s="57" t="s">
        <v>192</v>
      </c>
      <c r="E1027" s="57">
        <v>0</v>
      </c>
      <c r="F1027" s="57">
        <v>2.0920000000000001</v>
      </c>
      <c r="G1027" s="57">
        <v>0.96030000000000004</v>
      </c>
      <c r="I1027" s="33">
        <f t="shared" si="4"/>
        <v>1.1784858898260959</v>
      </c>
    </row>
    <row r="1028" spans="1:9" x14ac:dyDescent="0.2">
      <c r="A1028" s="70">
        <v>44663</v>
      </c>
      <c r="B1028" s="57">
        <v>2343</v>
      </c>
      <c r="C1028" s="57">
        <v>1</v>
      </c>
      <c r="D1028" s="57" t="s">
        <v>192</v>
      </c>
      <c r="E1028" s="57">
        <v>0</v>
      </c>
      <c r="F1028" s="57">
        <v>0.91300000000000003</v>
      </c>
      <c r="G1028" s="57">
        <v>0.41899999999999998</v>
      </c>
      <c r="H1028" s="57" t="s">
        <v>195</v>
      </c>
      <c r="I1028" s="33">
        <f t="shared" si="4"/>
        <v>1.1789976133651554</v>
      </c>
    </row>
    <row r="1029" spans="1:9" x14ac:dyDescent="0.2">
      <c r="A1029" s="70">
        <v>44665</v>
      </c>
      <c r="B1029" s="57">
        <v>2028</v>
      </c>
      <c r="C1029" s="57">
        <v>1</v>
      </c>
      <c r="D1029" s="57" t="s">
        <v>192</v>
      </c>
      <c r="E1029" s="57">
        <v>0</v>
      </c>
      <c r="F1029" s="57">
        <v>6.0400000000000002E-2</v>
      </c>
      <c r="G1029" s="57">
        <v>2.7699999999999999E-2</v>
      </c>
      <c r="H1029" s="57" t="s">
        <v>191</v>
      </c>
      <c r="I1029" s="33">
        <f t="shared" si="4"/>
        <v>1.1805054151624552</v>
      </c>
    </row>
    <row r="1030" spans="1:9" x14ac:dyDescent="0.2">
      <c r="A1030" s="70">
        <v>44706</v>
      </c>
      <c r="B1030" s="57">
        <v>2375</v>
      </c>
      <c r="C1030" s="57">
        <v>2</v>
      </c>
      <c r="D1030" s="57" t="s">
        <v>175</v>
      </c>
      <c r="E1030" s="57">
        <v>0</v>
      </c>
      <c r="F1030" s="57">
        <v>5.67E-2</v>
      </c>
      <c r="G1030" s="57">
        <v>2.5999999999999999E-2</v>
      </c>
      <c r="H1030" s="57" t="s">
        <v>193</v>
      </c>
      <c r="I1030" s="33">
        <f t="shared" si="4"/>
        <v>1.1807692307692308</v>
      </c>
    </row>
    <row r="1031" spans="1:9" x14ac:dyDescent="0.2">
      <c r="A1031" s="70">
        <v>44704</v>
      </c>
      <c r="B1031" s="57">
        <v>2021</v>
      </c>
      <c r="C1031" s="57">
        <v>3</v>
      </c>
      <c r="D1031" s="57" t="s">
        <v>175</v>
      </c>
      <c r="E1031" s="57">
        <v>0</v>
      </c>
      <c r="F1031" s="57">
        <v>4.58E-2</v>
      </c>
      <c r="G1031" s="57">
        <v>2.1000000000000001E-2</v>
      </c>
      <c r="I1031" s="33">
        <f t="shared" si="4"/>
        <v>1.1809523809523808</v>
      </c>
    </row>
    <row r="1032" spans="1:9" x14ac:dyDescent="0.2">
      <c r="A1032" s="70">
        <v>44665</v>
      </c>
      <c r="B1032" s="57">
        <v>2078</v>
      </c>
      <c r="C1032" s="57">
        <v>1</v>
      </c>
      <c r="D1032" s="57" t="s">
        <v>192</v>
      </c>
      <c r="E1032" s="57">
        <v>0</v>
      </c>
      <c r="F1032" s="57">
        <v>0.64810000000000001</v>
      </c>
      <c r="G1032" s="57">
        <v>0.29659999999999997</v>
      </c>
      <c r="H1032" s="57" t="s">
        <v>191</v>
      </c>
      <c r="I1032" s="33">
        <f t="shared" si="4"/>
        <v>1.1850977747808498</v>
      </c>
    </row>
    <row r="1033" spans="1:9" x14ac:dyDescent="0.2">
      <c r="A1033" s="70">
        <v>44690</v>
      </c>
      <c r="B1033" s="57">
        <v>2085</v>
      </c>
      <c r="C1033" s="57">
        <v>1</v>
      </c>
      <c r="D1033" s="57" t="s">
        <v>192</v>
      </c>
      <c r="E1033" s="57">
        <v>0</v>
      </c>
      <c r="F1033" s="57">
        <v>0.79090000000000005</v>
      </c>
      <c r="G1033" s="57">
        <v>0.3619</v>
      </c>
      <c r="I1033" s="33">
        <f t="shared" si="4"/>
        <v>1.1854103343465048</v>
      </c>
    </row>
    <row r="1034" spans="1:9" x14ac:dyDescent="0.2">
      <c r="A1034" s="70">
        <v>44665</v>
      </c>
      <c r="B1034" s="57">
        <v>2365</v>
      </c>
      <c r="C1034" s="57">
        <v>1</v>
      </c>
      <c r="D1034" s="57" t="s">
        <v>192</v>
      </c>
      <c r="E1034" s="57">
        <v>0</v>
      </c>
      <c r="F1034" s="57">
        <v>0.80959999999999999</v>
      </c>
      <c r="G1034" s="57">
        <v>0.37040000000000001</v>
      </c>
      <c r="H1034" s="57" t="s">
        <v>191</v>
      </c>
      <c r="I1034" s="33">
        <f t="shared" si="4"/>
        <v>1.1857451403887689</v>
      </c>
    </row>
    <row r="1035" spans="1:9" x14ac:dyDescent="0.2">
      <c r="A1035" s="70">
        <v>44690</v>
      </c>
      <c r="B1035" s="57">
        <v>2090</v>
      </c>
      <c r="C1035" s="57">
        <v>2</v>
      </c>
      <c r="D1035" s="57" t="s">
        <v>192</v>
      </c>
      <c r="E1035" s="57">
        <v>0</v>
      </c>
      <c r="F1035" s="57">
        <v>0.67500000000000004</v>
      </c>
      <c r="G1035" s="57">
        <v>0.30880000000000002</v>
      </c>
      <c r="I1035" s="33">
        <f t="shared" si="4"/>
        <v>1.185880829015544</v>
      </c>
    </row>
    <row r="1036" spans="1:9" x14ac:dyDescent="0.2">
      <c r="A1036" s="70">
        <v>44690</v>
      </c>
      <c r="B1036" s="57">
        <v>2025</v>
      </c>
      <c r="C1036" s="57">
        <v>3</v>
      </c>
      <c r="D1036" s="57" t="s">
        <v>175</v>
      </c>
      <c r="E1036" s="57">
        <v>0</v>
      </c>
      <c r="F1036" s="72">
        <v>0.18099999999999999</v>
      </c>
      <c r="G1036" s="57">
        <v>8.2799999999999999E-2</v>
      </c>
      <c r="I1036" s="33">
        <f t="shared" si="4"/>
        <v>1.1859903381642511</v>
      </c>
    </row>
    <row r="1037" spans="1:9" x14ac:dyDescent="0.2">
      <c r="A1037" s="70">
        <v>44690</v>
      </c>
      <c r="B1037" s="57">
        <v>2088</v>
      </c>
      <c r="C1037" s="57">
        <v>2</v>
      </c>
      <c r="D1037" s="57" t="s">
        <v>192</v>
      </c>
      <c r="E1037" s="57">
        <v>0</v>
      </c>
      <c r="F1037" s="57">
        <v>0.56100000000000005</v>
      </c>
      <c r="G1037" s="57">
        <v>0.25650000000000001</v>
      </c>
      <c r="I1037" s="33">
        <f t="shared" si="4"/>
        <v>1.1871345029239768</v>
      </c>
    </row>
    <row r="1038" spans="1:9" x14ac:dyDescent="0.2">
      <c r="A1038" s="70">
        <v>44706</v>
      </c>
      <c r="B1038" s="57">
        <v>2370</v>
      </c>
      <c r="C1038" s="57">
        <v>3</v>
      </c>
      <c r="D1038" s="57" t="s">
        <v>192</v>
      </c>
      <c r="E1038" s="57">
        <v>0</v>
      </c>
      <c r="F1038" s="57">
        <v>0.34560000000000002</v>
      </c>
      <c r="G1038" s="57">
        <v>0.158</v>
      </c>
      <c r="H1038" s="57" t="s">
        <v>193</v>
      </c>
      <c r="I1038" s="33">
        <f t="shared" si="4"/>
        <v>1.1873417721518988</v>
      </c>
    </row>
    <row r="1039" spans="1:9" x14ac:dyDescent="0.2">
      <c r="A1039" s="70">
        <v>44690</v>
      </c>
      <c r="B1039" s="57">
        <v>2026</v>
      </c>
      <c r="C1039" s="57">
        <v>1</v>
      </c>
      <c r="D1039" s="57" t="s">
        <v>175</v>
      </c>
      <c r="E1039" s="57">
        <v>0</v>
      </c>
      <c r="F1039" s="57">
        <v>0.63239999999999996</v>
      </c>
      <c r="G1039" s="57">
        <v>0.28899999999999998</v>
      </c>
      <c r="I1039" s="33">
        <f t="shared" si="4"/>
        <v>1.1882352941176471</v>
      </c>
    </row>
    <row r="1040" spans="1:9" x14ac:dyDescent="0.2">
      <c r="A1040" s="70">
        <v>44690</v>
      </c>
      <c r="B1040" s="57">
        <v>2092</v>
      </c>
      <c r="C1040" s="57">
        <v>3</v>
      </c>
      <c r="D1040" s="57" t="s">
        <v>175</v>
      </c>
      <c r="E1040" s="57">
        <v>0</v>
      </c>
      <c r="F1040" s="57">
        <v>6.13E-2</v>
      </c>
      <c r="G1040" s="57">
        <v>2.8000000000000001E-2</v>
      </c>
      <c r="I1040" s="33">
        <f t="shared" si="4"/>
        <v>1.1892857142857141</v>
      </c>
    </row>
    <row r="1041" spans="1:9" x14ac:dyDescent="0.2">
      <c r="A1041" s="70">
        <v>44706</v>
      </c>
      <c r="B1041" s="57">
        <v>2010</v>
      </c>
      <c r="C1041" s="57">
        <v>3</v>
      </c>
      <c r="D1041" s="57" t="s">
        <v>175</v>
      </c>
      <c r="E1041" s="57">
        <v>0</v>
      </c>
      <c r="F1041" s="57">
        <v>0.3614</v>
      </c>
      <c r="G1041" s="57">
        <v>0.16500000000000001</v>
      </c>
      <c r="H1041" s="57" t="s">
        <v>193</v>
      </c>
      <c r="I1041" s="33">
        <f t="shared" si="4"/>
        <v>1.1903030303030302</v>
      </c>
    </row>
    <row r="1042" spans="1:9" x14ac:dyDescent="0.2">
      <c r="A1042" s="70">
        <v>44704</v>
      </c>
      <c r="B1042" s="57">
        <v>2384</v>
      </c>
      <c r="C1042" s="57">
        <v>3</v>
      </c>
      <c r="D1042" s="57" t="s">
        <v>175</v>
      </c>
      <c r="E1042" s="57">
        <v>0</v>
      </c>
      <c r="F1042" s="57">
        <v>4.5999999999999999E-2</v>
      </c>
      <c r="G1042" s="57">
        <v>2.1000000000000001E-2</v>
      </c>
      <c r="I1042" s="33">
        <f t="shared" si="4"/>
        <v>1.1904761904761902</v>
      </c>
    </row>
    <row r="1043" spans="1:9" x14ac:dyDescent="0.2">
      <c r="A1043" s="70">
        <v>44635</v>
      </c>
      <c r="B1043" s="57">
        <v>2025</v>
      </c>
      <c r="C1043" s="57">
        <v>1</v>
      </c>
      <c r="D1043" s="57" t="s">
        <v>192</v>
      </c>
      <c r="E1043" s="57">
        <v>0</v>
      </c>
      <c r="F1043" s="57">
        <v>2.1819999999999999</v>
      </c>
      <c r="G1043" s="57">
        <v>0.996</v>
      </c>
      <c r="H1043" s="57" t="s">
        <v>194</v>
      </c>
      <c r="I1043" s="33">
        <f t="shared" si="4"/>
        <v>1.1907630522088353</v>
      </c>
    </row>
    <row r="1044" spans="1:9" x14ac:dyDescent="0.2">
      <c r="A1044" s="70">
        <v>44690</v>
      </c>
      <c r="B1044" s="57">
        <v>2088</v>
      </c>
      <c r="C1044" s="57">
        <v>3</v>
      </c>
      <c r="D1044" s="57" t="s">
        <v>175</v>
      </c>
      <c r="E1044" s="57">
        <v>1</v>
      </c>
      <c r="F1044" s="57">
        <v>0.3755</v>
      </c>
      <c r="G1044" s="57">
        <v>0.1714</v>
      </c>
      <c r="I1044" s="33">
        <f t="shared" si="4"/>
        <v>1.1907817969661612</v>
      </c>
    </row>
    <row r="1045" spans="1:9" x14ac:dyDescent="0.2">
      <c r="A1045" s="70">
        <v>44665</v>
      </c>
      <c r="B1045" s="57">
        <v>2382</v>
      </c>
      <c r="C1045" s="57">
        <v>2</v>
      </c>
      <c r="D1045" s="57" t="s">
        <v>175</v>
      </c>
      <c r="E1045" s="57">
        <v>1</v>
      </c>
      <c r="F1045" s="57">
        <v>0.1527</v>
      </c>
      <c r="G1045" s="57">
        <v>6.9699999999999998E-2</v>
      </c>
      <c r="H1045" s="57" t="s">
        <v>191</v>
      </c>
      <c r="I1045" s="33">
        <f t="shared" si="4"/>
        <v>1.1908177905308466</v>
      </c>
    </row>
    <row r="1046" spans="1:9" x14ac:dyDescent="0.2">
      <c r="A1046" s="70">
        <v>44665</v>
      </c>
      <c r="B1046" s="57">
        <v>2378</v>
      </c>
      <c r="C1046" s="57">
        <v>2</v>
      </c>
      <c r="D1046" s="57" t="s">
        <v>192</v>
      </c>
      <c r="E1046" s="57">
        <v>0</v>
      </c>
      <c r="F1046" s="57">
        <v>0.62050000000000005</v>
      </c>
      <c r="G1046" s="57">
        <v>0.28299999999999997</v>
      </c>
      <c r="H1046" s="57" t="s">
        <v>191</v>
      </c>
      <c r="I1046" s="33">
        <f t="shared" si="4"/>
        <v>1.1925795053003538</v>
      </c>
    </row>
    <row r="1047" spans="1:9" x14ac:dyDescent="0.2">
      <c r="A1047" s="70">
        <v>44706</v>
      </c>
      <c r="B1047" s="57">
        <v>2011</v>
      </c>
      <c r="C1047" s="57">
        <v>1</v>
      </c>
      <c r="D1047" s="57" t="s">
        <v>175</v>
      </c>
      <c r="E1047" s="57">
        <v>0</v>
      </c>
      <c r="F1047" s="57">
        <v>0.12720000000000001</v>
      </c>
      <c r="G1047" s="57">
        <v>5.8000000000000003E-2</v>
      </c>
      <c r="H1047" s="57" t="s">
        <v>193</v>
      </c>
      <c r="I1047" s="33">
        <f t="shared" si="4"/>
        <v>1.1931034482758622</v>
      </c>
    </row>
    <row r="1048" spans="1:9" x14ac:dyDescent="0.2">
      <c r="A1048" s="70">
        <v>44650</v>
      </c>
      <c r="B1048" s="57">
        <v>2369</v>
      </c>
      <c r="C1048" s="57">
        <v>1</v>
      </c>
      <c r="D1048" s="57" t="s">
        <v>175</v>
      </c>
      <c r="E1048" s="57">
        <v>1</v>
      </c>
      <c r="F1048" s="57">
        <v>0.16450000000000001</v>
      </c>
      <c r="G1048" s="57">
        <v>7.4999999999999997E-2</v>
      </c>
      <c r="H1048" s="57" t="s">
        <v>191</v>
      </c>
      <c r="I1048" s="33">
        <f t="shared" si="4"/>
        <v>1.1933333333333336</v>
      </c>
    </row>
    <row r="1049" spans="1:9" x14ac:dyDescent="0.2">
      <c r="A1049" s="70">
        <v>44665</v>
      </c>
      <c r="B1049" s="57">
        <v>2351</v>
      </c>
      <c r="C1049" s="57">
        <v>1</v>
      </c>
      <c r="D1049" s="57" t="s">
        <v>175</v>
      </c>
      <c r="E1049" s="57">
        <v>1</v>
      </c>
      <c r="F1049" s="57">
        <v>5.5500000000000001E-2</v>
      </c>
      <c r="G1049" s="57">
        <v>2.53E-2</v>
      </c>
      <c r="H1049" s="57" t="s">
        <v>191</v>
      </c>
      <c r="I1049" s="33">
        <f t="shared" si="4"/>
        <v>1.1936758893280632</v>
      </c>
    </row>
    <row r="1050" spans="1:9" x14ac:dyDescent="0.2">
      <c r="A1050" s="70">
        <v>44662</v>
      </c>
      <c r="B1050" s="57">
        <v>2085</v>
      </c>
      <c r="C1050" s="57">
        <v>2</v>
      </c>
      <c r="D1050" s="57" t="s">
        <v>175</v>
      </c>
      <c r="E1050" s="57">
        <v>1</v>
      </c>
      <c r="F1050" s="57">
        <v>0.29360000000000003</v>
      </c>
      <c r="G1050" s="57">
        <v>0.1338</v>
      </c>
      <c r="H1050" s="57" t="s">
        <v>191</v>
      </c>
      <c r="I1050" s="33">
        <f t="shared" si="4"/>
        <v>1.1943198804185353</v>
      </c>
    </row>
    <row r="1051" spans="1:9" x14ac:dyDescent="0.2">
      <c r="A1051" s="70">
        <v>44650</v>
      </c>
      <c r="B1051" s="57">
        <v>2378</v>
      </c>
      <c r="C1051" s="57">
        <v>1</v>
      </c>
      <c r="D1051" s="57" t="s">
        <v>192</v>
      </c>
      <c r="E1051" s="57" t="s">
        <v>60</v>
      </c>
      <c r="F1051" s="57">
        <v>0.91520000000000001</v>
      </c>
      <c r="G1051" s="57">
        <v>0.41699999999999998</v>
      </c>
      <c r="H1051" s="57" t="s">
        <v>191</v>
      </c>
      <c r="I1051" s="33">
        <f t="shared" si="4"/>
        <v>1.1947242206235014</v>
      </c>
    </row>
    <row r="1052" spans="1:9" x14ac:dyDescent="0.2">
      <c r="A1052" s="70">
        <v>44650</v>
      </c>
      <c r="B1052" s="57">
        <v>2343</v>
      </c>
      <c r="C1052" s="57">
        <v>1</v>
      </c>
      <c r="D1052" s="57" t="s">
        <v>175</v>
      </c>
      <c r="E1052" s="57">
        <v>1</v>
      </c>
      <c r="F1052" s="57">
        <v>8.3400000000000002E-2</v>
      </c>
      <c r="G1052" s="57">
        <v>3.7999999999999999E-2</v>
      </c>
      <c r="H1052" s="57" t="s">
        <v>191</v>
      </c>
      <c r="I1052" s="33">
        <f t="shared" si="4"/>
        <v>1.1947368421052633</v>
      </c>
    </row>
    <row r="1053" spans="1:9" x14ac:dyDescent="0.2">
      <c r="A1053" s="70">
        <v>44665</v>
      </c>
      <c r="B1053" s="57">
        <v>2351</v>
      </c>
      <c r="C1053" s="57">
        <v>3</v>
      </c>
      <c r="D1053" s="57" t="s">
        <v>192</v>
      </c>
      <c r="E1053" s="57">
        <v>0</v>
      </c>
      <c r="F1053" s="57">
        <v>0.58450000000000002</v>
      </c>
      <c r="G1053" s="57">
        <v>0.26619999999999999</v>
      </c>
      <c r="H1053" s="57" t="s">
        <v>191</v>
      </c>
      <c r="I1053" s="33">
        <f t="shared" si="4"/>
        <v>1.1957175056348612</v>
      </c>
    </row>
    <row r="1054" spans="1:9" x14ac:dyDescent="0.2">
      <c r="A1054" s="70">
        <v>44684</v>
      </c>
      <c r="B1054" s="57">
        <v>2364</v>
      </c>
      <c r="C1054" s="57">
        <v>3</v>
      </c>
      <c r="D1054" s="57" t="s">
        <v>175</v>
      </c>
      <c r="E1054" s="57">
        <v>0</v>
      </c>
      <c r="F1054" s="57">
        <v>8.6800000000000002E-2</v>
      </c>
      <c r="G1054" s="57">
        <v>3.95E-2</v>
      </c>
      <c r="H1054" s="57" t="s">
        <v>196</v>
      </c>
      <c r="I1054" s="33">
        <f t="shared" si="4"/>
        <v>1.1974683544303797</v>
      </c>
    </row>
    <row r="1055" spans="1:9" x14ac:dyDescent="0.2">
      <c r="A1055" s="70">
        <v>44706</v>
      </c>
      <c r="B1055" s="57">
        <v>2370</v>
      </c>
      <c r="C1055" s="57">
        <v>1</v>
      </c>
      <c r="D1055" s="57" t="s">
        <v>175</v>
      </c>
      <c r="E1055" s="57">
        <v>0</v>
      </c>
      <c r="F1055" s="57">
        <v>0.13189999999999999</v>
      </c>
      <c r="G1055" s="57">
        <v>0.06</v>
      </c>
      <c r="H1055" s="57" t="s">
        <v>193</v>
      </c>
      <c r="I1055" s="33">
        <f t="shared" si="4"/>
        <v>1.1983333333333333</v>
      </c>
    </row>
    <row r="1056" spans="1:9" x14ac:dyDescent="0.2">
      <c r="A1056" s="70">
        <v>44690</v>
      </c>
      <c r="B1056" s="57">
        <v>2027</v>
      </c>
      <c r="C1056" s="57">
        <v>1</v>
      </c>
      <c r="D1056" s="57" t="s">
        <v>175</v>
      </c>
      <c r="E1056" s="57">
        <v>0</v>
      </c>
      <c r="F1056" s="57">
        <v>0.20599999999999999</v>
      </c>
      <c r="G1056" s="57">
        <v>9.3700000000000006E-2</v>
      </c>
      <c r="I1056" s="33">
        <f t="shared" si="4"/>
        <v>1.1985058697972248</v>
      </c>
    </row>
    <row r="1057" spans="1:9" x14ac:dyDescent="0.2">
      <c r="A1057" s="70">
        <v>44684</v>
      </c>
      <c r="B1057" s="57">
        <v>2010</v>
      </c>
      <c r="C1057" s="57">
        <v>3</v>
      </c>
      <c r="D1057" s="57" t="s">
        <v>175</v>
      </c>
      <c r="E1057" s="57">
        <v>0</v>
      </c>
      <c r="F1057" s="57">
        <v>0.15110000000000001</v>
      </c>
      <c r="G1057" s="57">
        <v>6.8699999999999997E-2</v>
      </c>
      <c r="H1057" s="57" t="s">
        <v>196</v>
      </c>
      <c r="I1057" s="33">
        <f t="shared" si="4"/>
        <v>1.1994177583697236</v>
      </c>
    </row>
    <row r="1058" spans="1:9" x14ac:dyDescent="0.2">
      <c r="A1058" s="70">
        <v>44665</v>
      </c>
      <c r="B1058" s="57">
        <v>2028</v>
      </c>
      <c r="C1058" s="57">
        <v>2</v>
      </c>
      <c r="D1058" s="57" t="s">
        <v>175</v>
      </c>
      <c r="E1058" s="57">
        <v>1</v>
      </c>
      <c r="F1058" s="57">
        <v>7.2599999999999998E-2</v>
      </c>
      <c r="G1058" s="57">
        <v>3.3000000000000002E-2</v>
      </c>
      <c r="H1058" s="57" t="s">
        <v>191</v>
      </c>
      <c r="I1058" s="33">
        <f t="shared" si="4"/>
        <v>1.1999999999999997</v>
      </c>
    </row>
    <row r="1059" spans="1:9" x14ac:dyDescent="0.2">
      <c r="A1059" s="70">
        <v>44650</v>
      </c>
      <c r="B1059" s="57">
        <v>2360</v>
      </c>
      <c r="C1059" s="57">
        <v>1</v>
      </c>
      <c r="D1059" s="57" t="s">
        <v>175</v>
      </c>
      <c r="E1059" s="57">
        <v>1</v>
      </c>
      <c r="F1059" s="57">
        <v>0.23760000000000001</v>
      </c>
      <c r="G1059" s="57">
        <v>0.108</v>
      </c>
      <c r="H1059" s="57" t="s">
        <v>191</v>
      </c>
      <c r="I1059" s="33">
        <f t="shared" si="4"/>
        <v>1.2</v>
      </c>
    </row>
    <row r="1060" spans="1:9" x14ac:dyDescent="0.2">
      <c r="A1060" s="70">
        <v>44690</v>
      </c>
      <c r="B1060" s="57">
        <v>2086</v>
      </c>
      <c r="C1060" s="57">
        <v>3</v>
      </c>
      <c r="D1060" s="57" t="s">
        <v>175</v>
      </c>
      <c r="E1060" s="57">
        <v>1</v>
      </c>
      <c r="F1060" s="57">
        <v>0.39050000000000001</v>
      </c>
      <c r="G1060" s="57">
        <v>0.17749999999999999</v>
      </c>
      <c r="I1060" s="33">
        <f t="shared" si="4"/>
        <v>1.2000000000000002</v>
      </c>
    </row>
    <row r="1061" spans="1:9" x14ac:dyDescent="0.2">
      <c r="A1061" s="70">
        <v>44665</v>
      </c>
      <c r="B1061" s="57">
        <v>2367</v>
      </c>
      <c r="C1061" s="57">
        <v>1</v>
      </c>
      <c r="D1061" s="57" t="s">
        <v>192</v>
      </c>
      <c r="E1061" s="57">
        <v>0</v>
      </c>
      <c r="F1061" s="57">
        <v>0.48670000000000002</v>
      </c>
      <c r="G1061" s="57">
        <v>0.22120000000000001</v>
      </c>
      <c r="H1061" s="57" t="s">
        <v>191</v>
      </c>
      <c r="I1061" s="33">
        <f t="shared" si="4"/>
        <v>1.2002712477396023</v>
      </c>
    </row>
    <row r="1062" spans="1:9" x14ac:dyDescent="0.2">
      <c r="A1062" s="70">
        <v>44706</v>
      </c>
      <c r="B1062" s="57">
        <v>2331</v>
      </c>
      <c r="C1062" s="57">
        <v>3</v>
      </c>
      <c r="D1062" s="57" t="s">
        <v>175</v>
      </c>
      <c r="E1062" s="57">
        <v>0</v>
      </c>
      <c r="F1062" s="57">
        <v>0.52390000000000003</v>
      </c>
      <c r="G1062" s="57">
        <v>0.23799999999999999</v>
      </c>
      <c r="H1062" s="57" t="s">
        <v>193</v>
      </c>
      <c r="I1062" s="33">
        <f t="shared" si="4"/>
        <v>1.2012605042016808</v>
      </c>
    </row>
    <row r="1063" spans="1:9" x14ac:dyDescent="0.2">
      <c r="A1063" s="70">
        <v>44690</v>
      </c>
      <c r="B1063" s="57">
        <v>2087</v>
      </c>
      <c r="C1063" s="57">
        <v>2</v>
      </c>
      <c r="D1063" s="57" t="s">
        <v>192</v>
      </c>
      <c r="E1063" s="57">
        <v>0</v>
      </c>
      <c r="F1063" s="57">
        <v>1.1820999999999999</v>
      </c>
      <c r="G1063" s="57">
        <v>0.53669999999999995</v>
      </c>
      <c r="I1063" s="33">
        <f t="shared" si="4"/>
        <v>1.2025340040991244</v>
      </c>
    </row>
    <row r="1064" spans="1:9" x14ac:dyDescent="0.2">
      <c r="A1064" s="70">
        <v>44690</v>
      </c>
      <c r="B1064" s="57">
        <v>2029</v>
      </c>
      <c r="C1064" s="57">
        <v>1</v>
      </c>
      <c r="D1064" s="57" t="s">
        <v>175</v>
      </c>
      <c r="E1064" s="57">
        <v>0</v>
      </c>
      <c r="F1064" s="57">
        <v>0.18609999999999999</v>
      </c>
      <c r="G1064" s="57">
        <v>8.4400000000000003E-2</v>
      </c>
      <c r="I1064" s="33">
        <f t="shared" si="4"/>
        <v>1.2049763033175354</v>
      </c>
    </row>
    <row r="1065" spans="1:9" x14ac:dyDescent="0.2">
      <c r="A1065" s="70">
        <v>44685</v>
      </c>
      <c r="B1065" s="57">
        <v>2354</v>
      </c>
      <c r="C1065" s="57">
        <v>2</v>
      </c>
      <c r="D1065" s="57" t="s">
        <v>175</v>
      </c>
      <c r="E1065" s="57">
        <v>0</v>
      </c>
      <c r="F1065" s="57">
        <v>7.8100000000000003E-2</v>
      </c>
      <c r="G1065" s="57">
        <v>3.5400000000000001E-2</v>
      </c>
      <c r="I1065" s="33">
        <f t="shared" si="4"/>
        <v>1.2062146892655368</v>
      </c>
    </row>
    <row r="1066" spans="1:9" x14ac:dyDescent="0.2">
      <c r="A1066" s="70">
        <v>44708</v>
      </c>
      <c r="B1066" s="57">
        <v>2008</v>
      </c>
      <c r="C1066" s="57">
        <v>2</v>
      </c>
      <c r="D1066" s="57" t="s">
        <v>175</v>
      </c>
      <c r="E1066" s="57">
        <v>0</v>
      </c>
      <c r="F1066" s="57">
        <v>3.5299999999999998E-2</v>
      </c>
      <c r="G1066" s="57">
        <v>1.6E-2</v>
      </c>
      <c r="H1066" s="57" t="s">
        <v>193</v>
      </c>
      <c r="I1066" s="33">
        <f t="shared" si="4"/>
        <v>1.2062499999999998</v>
      </c>
    </row>
    <row r="1067" spans="1:9" x14ac:dyDescent="0.2">
      <c r="A1067" s="70">
        <v>44650</v>
      </c>
      <c r="B1067" s="57">
        <v>2379</v>
      </c>
      <c r="C1067" s="57">
        <v>3</v>
      </c>
      <c r="D1067" s="57" t="s">
        <v>192</v>
      </c>
      <c r="E1067" s="57" t="s">
        <v>60</v>
      </c>
      <c r="F1067" s="57">
        <v>0.50760000000000005</v>
      </c>
      <c r="G1067" s="57">
        <v>0.23</v>
      </c>
      <c r="H1067" s="57" t="s">
        <v>191</v>
      </c>
      <c r="I1067" s="33">
        <f t="shared" si="4"/>
        <v>1.2069565217391307</v>
      </c>
    </row>
    <row r="1068" spans="1:9" x14ac:dyDescent="0.2">
      <c r="A1068" s="70">
        <v>44706</v>
      </c>
      <c r="B1068" s="57">
        <v>2011</v>
      </c>
      <c r="C1068" s="57">
        <v>2</v>
      </c>
      <c r="D1068" s="57" t="s">
        <v>175</v>
      </c>
      <c r="E1068" s="57">
        <v>0</v>
      </c>
      <c r="F1068" s="57">
        <v>5.96E-2</v>
      </c>
      <c r="G1068" s="57">
        <v>2.7E-2</v>
      </c>
      <c r="H1068" s="57" t="s">
        <v>193</v>
      </c>
      <c r="I1068" s="33">
        <f t="shared" si="4"/>
        <v>1.2074074074074075</v>
      </c>
    </row>
    <row r="1069" spans="1:9" x14ac:dyDescent="0.2">
      <c r="A1069" s="70">
        <v>44690</v>
      </c>
      <c r="B1069" s="57">
        <v>2029</v>
      </c>
      <c r="C1069" s="57">
        <v>3</v>
      </c>
      <c r="D1069" s="57" t="s">
        <v>175</v>
      </c>
      <c r="E1069" s="57">
        <v>1</v>
      </c>
      <c r="F1069" s="57">
        <v>0.22120000000000001</v>
      </c>
      <c r="G1069" s="57">
        <v>0.1002</v>
      </c>
      <c r="I1069" s="33">
        <f t="shared" si="4"/>
        <v>1.2075848303393215</v>
      </c>
    </row>
    <row r="1070" spans="1:9" x14ac:dyDescent="0.2">
      <c r="A1070" s="70">
        <v>44706</v>
      </c>
      <c r="B1070" s="57">
        <v>2379</v>
      </c>
      <c r="C1070" s="57">
        <v>1</v>
      </c>
      <c r="D1070" s="57" t="s">
        <v>175</v>
      </c>
      <c r="E1070" s="57">
        <v>0</v>
      </c>
      <c r="F1070" s="57">
        <v>5.5199999999999999E-2</v>
      </c>
      <c r="G1070" s="57">
        <v>2.5000000000000001E-2</v>
      </c>
      <c r="H1070" s="57" t="s">
        <v>193</v>
      </c>
      <c r="I1070" s="33">
        <f t="shared" si="4"/>
        <v>1.2079999999999997</v>
      </c>
    </row>
    <row r="1071" spans="1:9" x14ac:dyDescent="0.2">
      <c r="A1071" s="70">
        <v>44708</v>
      </c>
      <c r="B1071" s="57">
        <v>2091</v>
      </c>
      <c r="C1071" s="57">
        <v>2</v>
      </c>
      <c r="D1071" s="57" t="s">
        <v>175</v>
      </c>
      <c r="E1071" s="57">
        <v>0</v>
      </c>
      <c r="F1071" s="57">
        <v>0.12590000000000001</v>
      </c>
      <c r="G1071" s="57">
        <v>5.7000000000000002E-2</v>
      </c>
      <c r="H1071" s="57" t="s">
        <v>193</v>
      </c>
      <c r="I1071" s="33">
        <f t="shared" si="4"/>
        <v>1.2087719298245616</v>
      </c>
    </row>
    <row r="1072" spans="1:9" x14ac:dyDescent="0.2">
      <c r="A1072" s="70">
        <v>44650</v>
      </c>
      <c r="B1072" s="57">
        <v>2379</v>
      </c>
      <c r="C1072" s="57">
        <v>2</v>
      </c>
      <c r="D1072" s="57" t="s">
        <v>192</v>
      </c>
      <c r="E1072" s="57" t="s">
        <v>60</v>
      </c>
      <c r="F1072" s="57">
        <v>0.46870000000000001</v>
      </c>
      <c r="G1072" s="57">
        <v>0.21199999999999999</v>
      </c>
      <c r="H1072" s="57" t="s">
        <v>191</v>
      </c>
      <c r="I1072" s="33">
        <f t="shared" si="4"/>
        <v>1.2108490566037737</v>
      </c>
    </row>
    <row r="1073" spans="1:9" x14ac:dyDescent="0.2">
      <c r="A1073" s="70">
        <v>44650</v>
      </c>
      <c r="B1073" s="57">
        <v>2372</v>
      </c>
      <c r="C1073" s="57">
        <v>1</v>
      </c>
      <c r="D1073" s="57" t="s">
        <v>175</v>
      </c>
      <c r="E1073" s="57">
        <v>1</v>
      </c>
      <c r="F1073" s="57">
        <v>0.1216</v>
      </c>
      <c r="G1073" s="57">
        <v>5.5E-2</v>
      </c>
      <c r="H1073" s="57" t="s">
        <v>191</v>
      </c>
      <c r="I1073" s="33">
        <f t="shared" si="4"/>
        <v>1.2109090909090907</v>
      </c>
    </row>
    <row r="1074" spans="1:9" x14ac:dyDescent="0.2">
      <c r="A1074" s="70">
        <v>44690</v>
      </c>
      <c r="B1074" s="57">
        <v>2021</v>
      </c>
      <c r="C1074" s="57">
        <v>1</v>
      </c>
      <c r="D1074" s="57" t="s">
        <v>175</v>
      </c>
      <c r="E1074" s="57">
        <v>0</v>
      </c>
      <c r="F1074" s="57">
        <v>0.19550000000000001</v>
      </c>
      <c r="G1074" s="57">
        <v>8.8400000000000006E-2</v>
      </c>
      <c r="I1074" s="33">
        <f t="shared" si="4"/>
        <v>1.2115384615384615</v>
      </c>
    </row>
    <row r="1075" spans="1:9" x14ac:dyDescent="0.2">
      <c r="A1075" s="70">
        <v>44704</v>
      </c>
      <c r="B1075" s="57">
        <v>2030</v>
      </c>
      <c r="C1075" s="57">
        <v>3</v>
      </c>
      <c r="D1075" s="57" t="s">
        <v>175</v>
      </c>
      <c r="E1075" s="57">
        <v>0</v>
      </c>
      <c r="F1075" s="57">
        <v>2.92E-2</v>
      </c>
      <c r="G1075" s="57">
        <v>1.32E-2</v>
      </c>
      <c r="I1075" s="33">
        <f t="shared" si="4"/>
        <v>1.2121212121212122</v>
      </c>
    </row>
    <row r="1076" spans="1:9" x14ac:dyDescent="0.2">
      <c r="A1076" s="70">
        <v>44685</v>
      </c>
      <c r="B1076" s="57">
        <v>2371</v>
      </c>
      <c r="C1076" s="57">
        <v>3</v>
      </c>
      <c r="D1076" s="57" t="s">
        <v>175</v>
      </c>
      <c r="E1076" s="57">
        <v>0</v>
      </c>
      <c r="F1076" s="57">
        <v>9.3799999999999994E-2</v>
      </c>
      <c r="G1076" s="57">
        <v>4.24E-2</v>
      </c>
      <c r="I1076" s="33">
        <f t="shared" si="4"/>
        <v>1.212264150943396</v>
      </c>
    </row>
    <row r="1077" spans="1:9" x14ac:dyDescent="0.2">
      <c r="A1077" s="70">
        <v>44690</v>
      </c>
      <c r="B1077" s="57">
        <v>2089</v>
      </c>
      <c r="C1077" s="57">
        <v>2</v>
      </c>
      <c r="D1077" s="57" t="s">
        <v>175</v>
      </c>
      <c r="E1077" s="57">
        <v>0</v>
      </c>
      <c r="F1077" s="57">
        <v>0.1613</v>
      </c>
      <c r="G1077" s="57">
        <v>7.2900000000000006E-2</v>
      </c>
      <c r="I1077" s="33">
        <f t="shared" si="4"/>
        <v>1.212620027434842</v>
      </c>
    </row>
    <row r="1078" spans="1:9" x14ac:dyDescent="0.2">
      <c r="A1078" s="70">
        <v>44690</v>
      </c>
      <c r="B1078" s="57">
        <v>2006</v>
      </c>
      <c r="C1078" s="57">
        <v>1</v>
      </c>
      <c r="D1078" s="57" t="s">
        <v>175</v>
      </c>
      <c r="E1078" s="57">
        <v>0</v>
      </c>
      <c r="F1078" s="57">
        <v>0.27379999999999999</v>
      </c>
      <c r="G1078" s="57">
        <v>0.1237</v>
      </c>
      <c r="I1078" s="33">
        <f t="shared" si="4"/>
        <v>1.2134195634599836</v>
      </c>
    </row>
    <row r="1079" spans="1:9" x14ac:dyDescent="0.2">
      <c r="A1079" s="70">
        <v>44690</v>
      </c>
      <c r="B1079" s="57">
        <v>2025</v>
      </c>
      <c r="C1079" s="57">
        <v>1</v>
      </c>
      <c r="D1079" s="57" t="s">
        <v>175</v>
      </c>
      <c r="E1079" s="57">
        <v>0</v>
      </c>
      <c r="F1079" s="57">
        <v>0.43830000000000002</v>
      </c>
      <c r="G1079" s="57">
        <v>0.19800000000000001</v>
      </c>
      <c r="I1079" s="33">
        <f t="shared" si="4"/>
        <v>1.2136363636363636</v>
      </c>
    </row>
    <row r="1080" spans="1:9" x14ac:dyDescent="0.2">
      <c r="A1080" s="70">
        <v>44708</v>
      </c>
      <c r="B1080" s="57">
        <v>1478</v>
      </c>
      <c r="C1080" s="57">
        <v>2</v>
      </c>
      <c r="D1080" s="57" t="s">
        <v>175</v>
      </c>
      <c r="E1080" s="57">
        <v>0</v>
      </c>
      <c r="F1080" s="57">
        <v>0.14399999999999999</v>
      </c>
      <c r="G1080" s="57">
        <v>6.5000000000000002E-2</v>
      </c>
      <c r="H1080" s="57" t="s">
        <v>193</v>
      </c>
      <c r="I1080" s="33">
        <f t="shared" si="4"/>
        <v>1.2153846153846151</v>
      </c>
    </row>
    <row r="1081" spans="1:9" x14ac:dyDescent="0.2">
      <c r="A1081" s="70">
        <v>44706</v>
      </c>
      <c r="B1081" s="57">
        <v>2010</v>
      </c>
      <c r="C1081" s="57">
        <v>2</v>
      </c>
      <c r="D1081" s="57" t="s">
        <v>175</v>
      </c>
      <c r="E1081" s="57">
        <v>0</v>
      </c>
      <c r="F1081" s="57">
        <v>0.26819999999999999</v>
      </c>
      <c r="G1081" s="57">
        <v>0.121</v>
      </c>
      <c r="H1081" s="57" t="s">
        <v>193</v>
      </c>
      <c r="I1081" s="33">
        <f t="shared" si="4"/>
        <v>1.2165289256198348</v>
      </c>
    </row>
    <row r="1082" spans="1:9" x14ac:dyDescent="0.2">
      <c r="A1082" s="70">
        <v>44665</v>
      </c>
      <c r="B1082" s="57">
        <v>2381</v>
      </c>
      <c r="C1082" s="57">
        <v>3</v>
      </c>
      <c r="D1082" s="57" t="s">
        <v>192</v>
      </c>
      <c r="E1082" s="57">
        <v>0</v>
      </c>
      <c r="F1082" s="57">
        <v>1.8003</v>
      </c>
      <c r="G1082" s="57">
        <v>0.81220000000000003</v>
      </c>
      <c r="H1082" s="57" t="s">
        <v>191</v>
      </c>
      <c r="I1082" s="33">
        <f t="shared" si="4"/>
        <v>1.2165722728392021</v>
      </c>
    </row>
    <row r="1083" spans="1:9" x14ac:dyDescent="0.2">
      <c r="A1083" s="70">
        <v>44706</v>
      </c>
      <c r="B1083" s="57">
        <v>2020</v>
      </c>
      <c r="C1083" s="57">
        <v>2</v>
      </c>
      <c r="D1083" s="57" t="s">
        <v>175</v>
      </c>
      <c r="E1083" s="57">
        <v>0</v>
      </c>
      <c r="F1083" s="57">
        <v>0.16850000000000001</v>
      </c>
      <c r="G1083" s="57">
        <v>7.5999999999999998E-2</v>
      </c>
      <c r="H1083" s="57" t="s">
        <v>193</v>
      </c>
      <c r="I1083" s="33">
        <f t="shared" si="4"/>
        <v>1.2171052631578949</v>
      </c>
    </row>
    <row r="1084" spans="1:9" x14ac:dyDescent="0.2">
      <c r="A1084" s="70">
        <v>44690</v>
      </c>
      <c r="B1084" s="57">
        <v>2093</v>
      </c>
      <c r="C1084" s="57">
        <v>1</v>
      </c>
      <c r="D1084" s="57" t="s">
        <v>192</v>
      </c>
      <c r="E1084" s="57">
        <v>0</v>
      </c>
      <c r="F1084" s="57">
        <v>1.5562</v>
      </c>
      <c r="G1084" s="57">
        <v>0.70189999999999997</v>
      </c>
      <c r="I1084" s="33">
        <f t="shared" si="4"/>
        <v>1.2171249465735861</v>
      </c>
    </row>
    <row r="1085" spans="1:9" x14ac:dyDescent="0.2">
      <c r="A1085" s="70">
        <v>44690</v>
      </c>
      <c r="B1085" s="57">
        <v>2085</v>
      </c>
      <c r="C1085" s="57">
        <v>1</v>
      </c>
      <c r="D1085" s="57" t="s">
        <v>175</v>
      </c>
      <c r="E1085" s="57">
        <v>1</v>
      </c>
      <c r="F1085" s="57">
        <v>0.64290000000000003</v>
      </c>
      <c r="G1085" s="57">
        <v>0.28989999999999999</v>
      </c>
      <c r="I1085" s="33">
        <f t="shared" si="4"/>
        <v>1.2176612625043119</v>
      </c>
    </row>
    <row r="1086" spans="1:9" x14ac:dyDescent="0.2">
      <c r="A1086" s="70">
        <v>44690</v>
      </c>
      <c r="B1086" s="57">
        <v>2087</v>
      </c>
      <c r="C1086" s="57">
        <v>2</v>
      </c>
      <c r="D1086" s="57" t="s">
        <v>175</v>
      </c>
      <c r="E1086" s="57">
        <v>1</v>
      </c>
      <c r="F1086" s="57">
        <v>0.41339999999999999</v>
      </c>
      <c r="G1086" s="57">
        <v>0.18629999999999999</v>
      </c>
      <c r="I1086" s="33">
        <f t="shared" si="4"/>
        <v>1.2190016103059582</v>
      </c>
    </row>
    <row r="1087" spans="1:9" x14ac:dyDescent="0.2">
      <c r="A1087" s="70">
        <v>44690</v>
      </c>
      <c r="B1087" s="57">
        <v>2024</v>
      </c>
      <c r="C1087" s="57">
        <v>3</v>
      </c>
      <c r="D1087" s="57" t="s">
        <v>175</v>
      </c>
      <c r="E1087" s="57">
        <v>0</v>
      </c>
      <c r="F1087" s="57">
        <v>0.38819999999999999</v>
      </c>
      <c r="G1087" s="57">
        <v>0.1749</v>
      </c>
      <c r="I1087" s="33">
        <f t="shared" si="4"/>
        <v>1.2195540308747856</v>
      </c>
    </row>
    <row r="1088" spans="1:9" x14ac:dyDescent="0.2">
      <c r="A1088" s="70">
        <v>44690</v>
      </c>
      <c r="B1088" s="57">
        <v>2006</v>
      </c>
      <c r="C1088" s="57">
        <v>3</v>
      </c>
      <c r="D1088" s="57" t="s">
        <v>175</v>
      </c>
      <c r="E1088" s="57">
        <v>0</v>
      </c>
      <c r="F1088" s="57">
        <v>7.2599999999999998E-2</v>
      </c>
      <c r="G1088" s="57">
        <v>3.27E-2</v>
      </c>
      <c r="I1088" s="33">
        <f t="shared" si="4"/>
        <v>1.2201834862385321</v>
      </c>
    </row>
    <row r="1089" spans="1:9" x14ac:dyDescent="0.2">
      <c r="A1089" s="70">
        <v>44665</v>
      </c>
      <c r="B1089" s="57">
        <v>2375</v>
      </c>
      <c r="C1089" s="57">
        <v>1</v>
      </c>
      <c r="D1089" s="57" t="s">
        <v>175</v>
      </c>
      <c r="E1089" s="57">
        <v>0</v>
      </c>
      <c r="F1089" s="57">
        <v>0.1119</v>
      </c>
      <c r="G1089" s="57">
        <v>5.04E-2</v>
      </c>
      <c r="H1089" s="57" t="s">
        <v>191</v>
      </c>
      <c r="I1089" s="33">
        <f t="shared" si="4"/>
        <v>1.2202380952380951</v>
      </c>
    </row>
    <row r="1090" spans="1:9" x14ac:dyDescent="0.2">
      <c r="A1090" s="70">
        <v>44665</v>
      </c>
      <c r="B1090" s="57">
        <v>2381</v>
      </c>
      <c r="C1090" s="57">
        <v>3</v>
      </c>
      <c r="D1090" s="57" t="s">
        <v>175</v>
      </c>
      <c r="E1090" s="57">
        <v>0</v>
      </c>
      <c r="F1090" s="57">
        <v>0.1168</v>
      </c>
      <c r="G1090" s="57">
        <v>5.2600000000000001E-2</v>
      </c>
      <c r="H1090" s="57" t="s">
        <v>191</v>
      </c>
      <c r="I1090" s="33">
        <f t="shared" si="4"/>
        <v>1.2205323193916351</v>
      </c>
    </row>
    <row r="1091" spans="1:9" x14ac:dyDescent="0.2">
      <c r="A1091" s="70">
        <v>44708</v>
      </c>
      <c r="B1091" s="57">
        <v>2008</v>
      </c>
      <c r="C1091" s="57">
        <v>1</v>
      </c>
      <c r="D1091" s="57" t="s">
        <v>175</v>
      </c>
      <c r="E1091" s="57">
        <v>0</v>
      </c>
      <c r="F1091" s="57">
        <v>0.191</v>
      </c>
      <c r="G1091" s="57">
        <v>8.5999999999999993E-2</v>
      </c>
      <c r="H1091" s="57" t="s">
        <v>193</v>
      </c>
      <c r="I1091" s="33">
        <f t="shared" si="4"/>
        <v>1.2209302325581397</v>
      </c>
    </row>
    <row r="1092" spans="1:9" x14ac:dyDescent="0.2">
      <c r="A1092" s="70">
        <v>44663</v>
      </c>
      <c r="B1092" s="57">
        <v>2343</v>
      </c>
      <c r="C1092" s="57">
        <v>2</v>
      </c>
      <c r="D1092" s="57" t="s">
        <v>192</v>
      </c>
      <c r="E1092" s="57">
        <v>0</v>
      </c>
      <c r="F1092" s="57">
        <v>1.224</v>
      </c>
      <c r="G1092" s="57">
        <v>0.55100000000000005</v>
      </c>
      <c r="H1092" s="57" t="s">
        <v>195</v>
      </c>
      <c r="I1092" s="33">
        <f t="shared" si="4"/>
        <v>1.2214156079854808</v>
      </c>
    </row>
    <row r="1093" spans="1:9" x14ac:dyDescent="0.2">
      <c r="A1093" s="70">
        <v>44665</v>
      </c>
      <c r="B1093" s="57">
        <v>2012</v>
      </c>
      <c r="C1093" s="57">
        <v>2</v>
      </c>
      <c r="D1093" s="57" t="s">
        <v>175</v>
      </c>
      <c r="E1093" s="57">
        <v>0</v>
      </c>
      <c r="F1093" s="57">
        <v>1.1387</v>
      </c>
      <c r="G1093" s="57">
        <v>0.51259999999999994</v>
      </c>
      <c r="H1093" s="57" t="s">
        <v>191</v>
      </c>
      <c r="I1093" s="33">
        <f t="shared" si="4"/>
        <v>1.2214202106905974</v>
      </c>
    </row>
    <row r="1094" spans="1:9" x14ac:dyDescent="0.2">
      <c r="A1094" s="70">
        <v>44706</v>
      </c>
      <c r="B1094" s="57">
        <v>2346</v>
      </c>
      <c r="C1094" s="57">
        <v>2</v>
      </c>
      <c r="D1094" s="57" t="s">
        <v>175</v>
      </c>
      <c r="E1094" s="57">
        <v>0</v>
      </c>
      <c r="F1094" s="57">
        <v>0.1133</v>
      </c>
      <c r="G1094" s="57">
        <v>5.0999999999999997E-2</v>
      </c>
      <c r="H1094" s="57" t="s">
        <v>193</v>
      </c>
      <c r="I1094" s="33">
        <f t="shared" si="4"/>
        <v>1.2215686274509805</v>
      </c>
    </row>
    <row r="1095" spans="1:9" x14ac:dyDescent="0.2">
      <c r="A1095" s="70">
        <v>44665</v>
      </c>
      <c r="B1095" s="57">
        <v>2007</v>
      </c>
      <c r="C1095" s="57">
        <v>2</v>
      </c>
      <c r="D1095" s="57" t="s">
        <v>175</v>
      </c>
      <c r="E1095" s="57">
        <v>0</v>
      </c>
      <c r="F1095" s="57">
        <v>0.31819999999999998</v>
      </c>
      <c r="G1095" s="57">
        <v>0.14319999999999999</v>
      </c>
      <c r="H1095" s="57" t="s">
        <v>191</v>
      </c>
      <c r="I1095" s="33">
        <f t="shared" si="4"/>
        <v>1.2220670391061452</v>
      </c>
    </row>
    <row r="1096" spans="1:9" x14ac:dyDescent="0.2">
      <c r="A1096" s="70">
        <v>44665</v>
      </c>
      <c r="B1096" s="57">
        <v>2367</v>
      </c>
      <c r="C1096" s="57">
        <v>1</v>
      </c>
      <c r="D1096" s="57" t="s">
        <v>175</v>
      </c>
      <c r="E1096" s="57">
        <v>1</v>
      </c>
      <c r="F1096" s="57">
        <v>3.2899999999999999E-2</v>
      </c>
      <c r="G1096" s="57">
        <v>1.4800000000000001E-2</v>
      </c>
      <c r="H1096" s="57" t="s">
        <v>191</v>
      </c>
      <c r="I1096" s="33">
        <f t="shared" si="4"/>
        <v>1.2229729729729728</v>
      </c>
    </row>
    <row r="1097" spans="1:9" x14ac:dyDescent="0.2">
      <c r="A1097" s="70">
        <v>44650</v>
      </c>
      <c r="B1097" s="57">
        <v>2378</v>
      </c>
      <c r="C1097" s="57">
        <v>3</v>
      </c>
      <c r="D1097" s="57" t="s">
        <v>175</v>
      </c>
      <c r="E1097" s="57">
        <v>1</v>
      </c>
      <c r="F1097" s="57">
        <v>0.3135</v>
      </c>
      <c r="G1097" s="57">
        <v>0.14099999999999999</v>
      </c>
      <c r="H1097" s="57" t="s">
        <v>191</v>
      </c>
      <c r="I1097" s="33">
        <f t="shared" si="4"/>
        <v>1.2234042553191491</v>
      </c>
    </row>
    <row r="1098" spans="1:9" x14ac:dyDescent="0.2">
      <c r="A1098" s="70">
        <v>44690</v>
      </c>
      <c r="B1098" s="57">
        <v>2087</v>
      </c>
      <c r="C1098" s="57">
        <v>1</v>
      </c>
      <c r="D1098" s="57" t="s">
        <v>175</v>
      </c>
      <c r="E1098" s="57">
        <v>1</v>
      </c>
      <c r="F1098" s="57">
        <v>0.24679999999999999</v>
      </c>
      <c r="G1098" s="72">
        <v>0.111</v>
      </c>
      <c r="I1098" s="33">
        <f t="shared" si="4"/>
        <v>1.2234234234234231</v>
      </c>
    </row>
    <row r="1099" spans="1:9" x14ac:dyDescent="0.2">
      <c r="A1099" s="70">
        <v>44708</v>
      </c>
      <c r="B1099" s="57">
        <v>2092</v>
      </c>
      <c r="C1099" s="57">
        <v>2</v>
      </c>
      <c r="D1099" s="57" t="s">
        <v>175</v>
      </c>
      <c r="E1099" s="57">
        <v>1</v>
      </c>
      <c r="F1099" s="57">
        <v>0.16900000000000001</v>
      </c>
      <c r="G1099" s="57">
        <v>7.5999999999999998E-2</v>
      </c>
      <c r="H1099" s="57" t="s">
        <v>193</v>
      </c>
      <c r="I1099" s="33">
        <f t="shared" si="4"/>
        <v>1.2236842105263159</v>
      </c>
    </row>
    <row r="1100" spans="1:9" x14ac:dyDescent="0.2">
      <c r="A1100" s="70">
        <v>44708</v>
      </c>
      <c r="B1100" s="57">
        <v>2013</v>
      </c>
      <c r="C1100" s="57">
        <v>1</v>
      </c>
      <c r="D1100" s="57" t="s">
        <v>192</v>
      </c>
      <c r="E1100" s="57">
        <v>0</v>
      </c>
      <c r="F1100" s="57">
        <v>0.70730000000000004</v>
      </c>
      <c r="G1100" s="57">
        <v>0.318</v>
      </c>
      <c r="H1100" s="57" t="s">
        <v>193</v>
      </c>
      <c r="I1100" s="33">
        <f t="shared" si="4"/>
        <v>1.2242138364779875</v>
      </c>
    </row>
    <row r="1101" spans="1:9" x14ac:dyDescent="0.2">
      <c r="A1101" s="70">
        <v>44635</v>
      </c>
      <c r="B1101" s="57">
        <v>2026</v>
      </c>
      <c r="C1101" s="57">
        <v>1</v>
      </c>
      <c r="D1101" s="57" t="s">
        <v>192</v>
      </c>
      <c r="E1101" s="57" t="s">
        <v>60</v>
      </c>
      <c r="F1101" s="57">
        <v>2.3109999999999999</v>
      </c>
      <c r="G1101" s="57">
        <v>1.0389999999999999</v>
      </c>
      <c r="H1101" s="57" t="s">
        <v>194</v>
      </c>
      <c r="I1101" s="33">
        <f t="shared" si="4"/>
        <v>1.2242540904716075</v>
      </c>
    </row>
    <row r="1102" spans="1:9" x14ac:dyDescent="0.2">
      <c r="A1102" s="70">
        <v>44708</v>
      </c>
      <c r="B1102" s="57">
        <v>2085</v>
      </c>
      <c r="C1102" s="57">
        <v>2</v>
      </c>
      <c r="D1102" s="57" t="s">
        <v>175</v>
      </c>
      <c r="E1102" s="57">
        <v>0</v>
      </c>
      <c r="F1102" s="57">
        <v>0.17799999999999999</v>
      </c>
      <c r="G1102" s="57">
        <v>0.08</v>
      </c>
      <c r="H1102" s="57" t="s">
        <v>193</v>
      </c>
      <c r="I1102" s="33">
        <f t="shared" si="4"/>
        <v>1.2249999999999999</v>
      </c>
    </row>
    <row r="1103" spans="1:9" x14ac:dyDescent="0.2">
      <c r="A1103" s="70">
        <v>44708</v>
      </c>
      <c r="B1103" s="57">
        <v>2085</v>
      </c>
      <c r="C1103" s="57">
        <v>1</v>
      </c>
      <c r="D1103" s="57" t="s">
        <v>175</v>
      </c>
      <c r="E1103" s="57">
        <v>0</v>
      </c>
      <c r="F1103" s="57">
        <v>6.9000000000000006E-2</v>
      </c>
      <c r="G1103" s="57">
        <v>3.1E-2</v>
      </c>
      <c r="H1103" s="57" t="s">
        <v>193</v>
      </c>
      <c r="I1103" s="33">
        <f t="shared" si="4"/>
        <v>1.2258064516129035</v>
      </c>
    </row>
    <row r="1104" spans="1:9" x14ac:dyDescent="0.2">
      <c r="A1104" s="70">
        <v>44665</v>
      </c>
      <c r="B1104" s="57">
        <v>2012</v>
      </c>
      <c r="C1104" s="57">
        <v>1</v>
      </c>
      <c r="D1104" s="57" t="s">
        <v>192</v>
      </c>
      <c r="E1104" s="57">
        <v>0</v>
      </c>
      <c r="F1104" s="57">
        <v>1.1114999999999999</v>
      </c>
      <c r="G1104" s="57">
        <v>0.49919999999999998</v>
      </c>
      <c r="H1104" s="57" t="s">
        <v>191</v>
      </c>
      <c r="I1104" s="33">
        <f t="shared" si="4"/>
        <v>1.2265625</v>
      </c>
    </row>
    <row r="1105" spans="1:9" x14ac:dyDescent="0.2">
      <c r="A1105" s="70">
        <v>44662</v>
      </c>
      <c r="B1105" s="57">
        <v>2085</v>
      </c>
      <c r="C1105" s="57">
        <v>1</v>
      </c>
      <c r="D1105" s="57" t="s">
        <v>192</v>
      </c>
      <c r="E1105" s="57">
        <v>0</v>
      </c>
      <c r="F1105" s="57">
        <v>1.2853000000000001</v>
      </c>
      <c r="G1105" s="57">
        <v>0.57699999999999996</v>
      </c>
      <c r="H1105" s="57" t="s">
        <v>191</v>
      </c>
      <c r="I1105" s="33">
        <f t="shared" si="4"/>
        <v>1.2275563258232238</v>
      </c>
    </row>
    <row r="1106" spans="1:9" x14ac:dyDescent="0.2">
      <c r="A1106" s="70">
        <v>44706</v>
      </c>
      <c r="B1106" s="57">
        <v>2021</v>
      </c>
      <c r="C1106" s="57">
        <v>1</v>
      </c>
      <c r="D1106" s="57" t="s">
        <v>175</v>
      </c>
      <c r="E1106" s="57">
        <v>0</v>
      </c>
      <c r="F1106" s="57">
        <v>0.13819999999999999</v>
      </c>
      <c r="G1106" s="57">
        <v>6.2E-2</v>
      </c>
      <c r="H1106" s="57" t="s">
        <v>193</v>
      </c>
      <c r="I1106" s="33">
        <f t="shared" si="4"/>
        <v>1.2290322580645159</v>
      </c>
    </row>
    <row r="1107" spans="1:9" x14ac:dyDescent="0.2">
      <c r="A1107" s="70">
        <v>44650</v>
      </c>
      <c r="B1107" s="57">
        <v>2343</v>
      </c>
      <c r="C1107" s="57">
        <v>3</v>
      </c>
      <c r="D1107" s="57" t="s">
        <v>175</v>
      </c>
      <c r="E1107" s="57">
        <v>1</v>
      </c>
      <c r="F1107" s="57">
        <v>0.1293</v>
      </c>
      <c r="G1107" s="57">
        <v>5.8000000000000003E-2</v>
      </c>
      <c r="H1107" s="57" t="s">
        <v>191</v>
      </c>
      <c r="I1107" s="33">
        <f t="shared" si="4"/>
        <v>1.2293103448275862</v>
      </c>
    </row>
    <row r="1108" spans="1:9" x14ac:dyDescent="0.2">
      <c r="A1108" s="70">
        <v>44690</v>
      </c>
      <c r="B1108" s="57">
        <v>2026</v>
      </c>
      <c r="C1108" s="57">
        <v>2</v>
      </c>
      <c r="D1108" s="57" t="s">
        <v>175</v>
      </c>
      <c r="E1108" s="57">
        <v>0</v>
      </c>
      <c r="F1108" s="57">
        <v>0.36420000000000002</v>
      </c>
      <c r="G1108" s="57">
        <v>0.1633</v>
      </c>
      <c r="I1108" s="33">
        <f t="shared" si="4"/>
        <v>1.230251071647275</v>
      </c>
    </row>
    <row r="1109" spans="1:9" x14ac:dyDescent="0.2">
      <c r="A1109" s="70">
        <v>44690</v>
      </c>
      <c r="B1109" s="57">
        <v>2087</v>
      </c>
      <c r="C1109" s="57">
        <v>3</v>
      </c>
      <c r="D1109" s="57" t="s">
        <v>192</v>
      </c>
      <c r="E1109" s="57">
        <v>0</v>
      </c>
      <c r="F1109" s="72">
        <v>2.5089999999999999</v>
      </c>
      <c r="G1109" s="57">
        <v>1.1249</v>
      </c>
      <c r="I1109" s="33">
        <f t="shared" si="4"/>
        <v>1.2304204818206061</v>
      </c>
    </row>
    <row r="1110" spans="1:9" x14ac:dyDescent="0.2">
      <c r="A1110" s="70">
        <v>44708</v>
      </c>
      <c r="B1110" s="57">
        <v>2090</v>
      </c>
      <c r="C1110" s="57">
        <v>1</v>
      </c>
      <c r="D1110" s="57" t="s">
        <v>175</v>
      </c>
      <c r="E1110" s="57">
        <v>0</v>
      </c>
      <c r="F1110" s="57">
        <v>5.8000000000000003E-2</v>
      </c>
      <c r="G1110" s="57">
        <v>2.5999999999999999E-2</v>
      </c>
      <c r="H1110" s="57" t="s">
        <v>193</v>
      </c>
      <c r="I1110" s="33">
        <f t="shared" si="4"/>
        <v>1.2307692307692308</v>
      </c>
    </row>
    <row r="1111" spans="1:9" x14ac:dyDescent="0.2">
      <c r="A1111" s="70">
        <v>44690</v>
      </c>
      <c r="B1111" s="57">
        <v>2080</v>
      </c>
      <c r="C1111" s="57">
        <v>1</v>
      </c>
      <c r="D1111" s="57" t="s">
        <v>192</v>
      </c>
      <c r="E1111" s="57">
        <v>0</v>
      </c>
      <c r="F1111" s="57">
        <v>1.7455000000000001</v>
      </c>
      <c r="G1111" s="57">
        <v>0.7823</v>
      </c>
      <c r="I1111" s="33">
        <f t="shared" si="4"/>
        <v>1.2312412118113256</v>
      </c>
    </row>
    <row r="1112" spans="1:9" x14ac:dyDescent="0.2">
      <c r="A1112" s="70">
        <v>44704</v>
      </c>
      <c r="B1112" s="57">
        <v>2022</v>
      </c>
      <c r="C1112" s="57">
        <v>3</v>
      </c>
      <c r="D1112" s="57" t="s">
        <v>175</v>
      </c>
      <c r="E1112" s="57">
        <v>0</v>
      </c>
      <c r="F1112" s="57">
        <v>3.5700000000000003E-2</v>
      </c>
      <c r="G1112" s="57">
        <v>1.6E-2</v>
      </c>
      <c r="I1112" s="33">
        <f t="shared" si="4"/>
        <v>1.2312500000000002</v>
      </c>
    </row>
    <row r="1113" spans="1:9" x14ac:dyDescent="0.2">
      <c r="A1113" s="70">
        <v>44708</v>
      </c>
      <c r="B1113" s="57">
        <v>2089</v>
      </c>
      <c r="C1113" s="57">
        <v>2</v>
      </c>
      <c r="D1113" s="57" t="s">
        <v>175</v>
      </c>
      <c r="E1113" s="57">
        <v>0</v>
      </c>
      <c r="F1113" s="57">
        <v>0.442</v>
      </c>
      <c r="G1113" s="57">
        <v>0.19800000000000001</v>
      </c>
      <c r="H1113" s="57" t="s">
        <v>193</v>
      </c>
      <c r="I1113" s="33">
        <f t="shared" si="4"/>
        <v>1.2323232323232323</v>
      </c>
    </row>
    <row r="1114" spans="1:9" x14ac:dyDescent="0.2">
      <c r="A1114" s="70">
        <v>44665</v>
      </c>
      <c r="B1114" s="57">
        <v>2025</v>
      </c>
      <c r="C1114" s="57">
        <v>2</v>
      </c>
      <c r="D1114" s="57" t="s">
        <v>175</v>
      </c>
      <c r="E1114" s="57">
        <v>0</v>
      </c>
      <c r="F1114" s="57">
        <v>5.6800000000000003E-2</v>
      </c>
      <c r="G1114" s="57">
        <v>2.5399999999999999E-2</v>
      </c>
      <c r="H1114" s="57" t="s">
        <v>191</v>
      </c>
      <c r="I1114" s="33">
        <f t="shared" si="4"/>
        <v>1.2362204724409451</v>
      </c>
    </row>
    <row r="1115" spans="1:9" x14ac:dyDescent="0.2">
      <c r="A1115" s="70">
        <v>44685</v>
      </c>
      <c r="B1115" s="57">
        <v>2371</v>
      </c>
      <c r="C1115" s="57">
        <v>1</v>
      </c>
      <c r="D1115" s="57" t="s">
        <v>175</v>
      </c>
      <c r="E1115" s="57">
        <v>0</v>
      </c>
      <c r="F1115" s="57">
        <v>0.21149999999999999</v>
      </c>
      <c r="G1115" s="57">
        <v>9.4500000000000001E-2</v>
      </c>
      <c r="I1115" s="33">
        <f t="shared" si="4"/>
        <v>1.2380952380952379</v>
      </c>
    </row>
    <row r="1116" spans="1:9" x14ac:dyDescent="0.2">
      <c r="A1116" s="70">
        <v>44685</v>
      </c>
      <c r="B1116" s="57">
        <v>2370</v>
      </c>
      <c r="C1116" s="57">
        <v>1</v>
      </c>
      <c r="D1116" s="57" t="s">
        <v>175</v>
      </c>
      <c r="E1116" s="57">
        <v>0</v>
      </c>
      <c r="F1116" s="57">
        <v>4.2799999999999998E-2</v>
      </c>
      <c r="G1116" s="57">
        <v>1.9099999999999999E-2</v>
      </c>
      <c r="I1116" s="33">
        <f t="shared" si="4"/>
        <v>1.2408376963350785</v>
      </c>
    </row>
    <row r="1117" spans="1:9" x14ac:dyDescent="0.2">
      <c r="A1117" s="70">
        <v>44706</v>
      </c>
      <c r="B1117" s="57">
        <v>2380</v>
      </c>
      <c r="C1117" s="57">
        <v>3</v>
      </c>
      <c r="D1117" s="57" t="s">
        <v>175</v>
      </c>
      <c r="E1117" s="57">
        <v>0</v>
      </c>
      <c r="F1117" s="57">
        <v>3.8100000000000002E-2</v>
      </c>
      <c r="G1117" s="57">
        <v>1.7000000000000001E-2</v>
      </c>
      <c r="H1117" s="57" t="s">
        <v>193</v>
      </c>
      <c r="I1117" s="33">
        <f t="shared" si="4"/>
        <v>1.2411764705882353</v>
      </c>
    </row>
    <row r="1118" spans="1:9" x14ac:dyDescent="0.2">
      <c r="A1118" s="70">
        <v>44690</v>
      </c>
      <c r="B1118" s="57">
        <v>2027</v>
      </c>
      <c r="C1118" s="57">
        <v>3</v>
      </c>
      <c r="D1118" s="57" t="s">
        <v>175</v>
      </c>
      <c r="E1118" s="57">
        <v>0</v>
      </c>
      <c r="F1118" s="57">
        <v>0.29160000000000003</v>
      </c>
      <c r="G1118" s="57">
        <v>0.13</v>
      </c>
      <c r="I1118" s="33">
        <f t="shared" si="4"/>
        <v>1.2430769230769232</v>
      </c>
    </row>
    <row r="1119" spans="1:9" x14ac:dyDescent="0.2">
      <c r="A1119" s="70">
        <v>44690</v>
      </c>
      <c r="B1119" s="57">
        <v>2027</v>
      </c>
      <c r="C1119" s="57">
        <v>2</v>
      </c>
      <c r="D1119" s="57" t="s">
        <v>175</v>
      </c>
      <c r="E1119" s="57">
        <v>1</v>
      </c>
      <c r="F1119" s="57">
        <v>0.15809999999999999</v>
      </c>
      <c r="G1119" s="57">
        <v>7.0400000000000004E-2</v>
      </c>
      <c r="I1119" s="33">
        <f t="shared" si="4"/>
        <v>1.245738636363636</v>
      </c>
    </row>
    <row r="1120" spans="1:9" x14ac:dyDescent="0.2">
      <c r="A1120" s="70">
        <v>44708</v>
      </c>
      <c r="B1120" s="57">
        <v>1478</v>
      </c>
      <c r="C1120" s="57">
        <v>3</v>
      </c>
      <c r="D1120" s="57" t="s">
        <v>175</v>
      </c>
      <c r="E1120" s="57">
        <v>0</v>
      </c>
      <c r="F1120" s="57">
        <v>0.26500000000000001</v>
      </c>
      <c r="G1120" s="57">
        <v>0.11799999999999999</v>
      </c>
      <c r="H1120" s="57" t="s">
        <v>193</v>
      </c>
      <c r="I1120" s="33">
        <f t="shared" si="4"/>
        <v>1.245762711864407</v>
      </c>
    </row>
    <row r="1121" spans="1:9" x14ac:dyDescent="0.2">
      <c r="A1121" s="70">
        <v>44635</v>
      </c>
      <c r="B1121" s="57">
        <v>2021</v>
      </c>
      <c r="C1121" s="57">
        <v>1</v>
      </c>
      <c r="D1121" s="57" t="s">
        <v>192</v>
      </c>
      <c r="E1121" s="57">
        <v>0</v>
      </c>
      <c r="F1121" s="57">
        <v>2.96</v>
      </c>
      <c r="G1121" s="57">
        <v>1.3180000000000001</v>
      </c>
      <c r="H1121" s="57" t="s">
        <v>194</v>
      </c>
      <c r="I1121" s="33">
        <f t="shared" si="4"/>
        <v>1.2458270106221547</v>
      </c>
    </row>
    <row r="1122" spans="1:9" x14ac:dyDescent="0.2">
      <c r="A1122" s="70">
        <v>44690</v>
      </c>
      <c r="B1122" s="57">
        <v>2088</v>
      </c>
      <c r="C1122" s="57">
        <v>2</v>
      </c>
      <c r="D1122" s="57" t="s">
        <v>175</v>
      </c>
      <c r="E1122" s="57">
        <v>0</v>
      </c>
      <c r="F1122" s="57">
        <v>7.8399999999999997E-2</v>
      </c>
      <c r="G1122" s="57">
        <v>3.49E-2</v>
      </c>
      <c r="I1122" s="33">
        <f t="shared" si="4"/>
        <v>1.2464183381088825</v>
      </c>
    </row>
    <row r="1123" spans="1:9" x14ac:dyDescent="0.2">
      <c r="A1123" s="70">
        <v>44706</v>
      </c>
      <c r="B1123" s="57">
        <v>2020</v>
      </c>
      <c r="C1123" s="57">
        <v>3</v>
      </c>
      <c r="D1123" s="57" t="s">
        <v>175</v>
      </c>
      <c r="E1123" s="57">
        <v>0</v>
      </c>
      <c r="F1123" s="57">
        <v>6.2899999999999998E-2</v>
      </c>
      <c r="G1123" s="57">
        <v>2.8000000000000001E-2</v>
      </c>
      <c r="H1123" s="57" t="s">
        <v>193</v>
      </c>
      <c r="I1123" s="33">
        <f t="shared" si="4"/>
        <v>1.2464285714285714</v>
      </c>
    </row>
    <row r="1124" spans="1:9" x14ac:dyDescent="0.2">
      <c r="A1124" s="70">
        <v>44690</v>
      </c>
      <c r="B1124" s="57">
        <v>2013</v>
      </c>
      <c r="C1124" s="57">
        <v>1</v>
      </c>
      <c r="D1124" s="57" t="s">
        <v>175</v>
      </c>
      <c r="E1124" s="57">
        <v>0</v>
      </c>
      <c r="F1124" s="57">
        <v>7.6399999999999996E-2</v>
      </c>
      <c r="G1124" s="57">
        <v>3.4000000000000002E-2</v>
      </c>
      <c r="I1124" s="33">
        <f t="shared" si="4"/>
        <v>1.2470588235294116</v>
      </c>
    </row>
    <row r="1125" spans="1:9" x14ac:dyDescent="0.2">
      <c r="A1125" s="70">
        <v>44650</v>
      </c>
      <c r="B1125" s="57">
        <v>2377</v>
      </c>
      <c r="C1125" s="57">
        <v>1</v>
      </c>
      <c r="D1125" s="57" t="s">
        <v>175</v>
      </c>
      <c r="E1125" s="57" t="s">
        <v>60</v>
      </c>
      <c r="F1125" s="57">
        <v>0.43390000000000001</v>
      </c>
      <c r="G1125" s="57">
        <v>0.193</v>
      </c>
      <c r="H1125" s="57" t="s">
        <v>191</v>
      </c>
      <c r="I1125" s="33">
        <f t="shared" si="4"/>
        <v>1.2481865284974094</v>
      </c>
    </row>
    <row r="1126" spans="1:9" x14ac:dyDescent="0.2">
      <c r="A1126" s="70">
        <v>44708</v>
      </c>
      <c r="B1126" s="57">
        <v>1478</v>
      </c>
      <c r="C1126" s="57">
        <v>1</v>
      </c>
      <c r="D1126" s="57" t="s">
        <v>175</v>
      </c>
      <c r="E1126" s="57">
        <v>0</v>
      </c>
      <c r="F1126" s="57">
        <v>0.14399999999999999</v>
      </c>
      <c r="G1126" s="57">
        <v>6.4000000000000001E-2</v>
      </c>
      <c r="H1126" s="57" t="s">
        <v>193</v>
      </c>
      <c r="I1126" s="33">
        <f t="shared" si="4"/>
        <v>1.2499999999999998</v>
      </c>
    </row>
    <row r="1127" spans="1:9" x14ac:dyDescent="0.2">
      <c r="A1127" s="70">
        <v>44665</v>
      </c>
      <c r="B1127" s="57">
        <v>2367</v>
      </c>
      <c r="C1127" s="57">
        <v>2</v>
      </c>
      <c r="D1127" s="57" t="s">
        <v>192</v>
      </c>
      <c r="E1127" s="57">
        <v>0</v>
      </c>
      <c r="F1127" s="57">
        <v>0.64329999999999998</v>
      </c>
      <c r="G1127" s="57">
        <v>0.28570000000000001</v>
      </c>
      <c r="H1127" s="57" t="s">
        <v>191</v>
      </c>
      <c r="I1127" s="33">
        <f t="shared" si="4"/>
        <v>1.2516625831291563</v>
      </c>
    </row>
    <row r="1128" spans="1:9" x14ac:dyDescent="0.2">
      <c r="A1128" s="70">
        <v>44663</v>
      </c>
      <c r="B1128" s="57">
        <v>2343</v>
      </c>
      <c r="C1128" s="57">
        <v>3</v>
      </c>
      <c r="D1128" s="57" t="s">
        <v>192</v>
      </c>
      <c r="E1128" s="57">
        <v>0</v>
      </c>
      <c r="F1128" s="57">
        <v>0.98399999999999999</v>
      </c>
      <c r="G1128" s="57">
        <v>0.437</v>
      </c>
      <c r="H1128" s="57" t="s">
        <v>195</v>
      </c>
      <c r="I1128" s="33">
        <f t="shared" si="4"/>
        <v>1.251716247139588</v>
      </c>
    </row>
    <row r="1129" spans="1:9" x14ac:dyDescent="0.2">
      <c r="A1129" s="70">
        <v>44662</v>
      </c>
      <c r="B1129" s="57">
        <v>2086</v>
      </c>
      <c r="C1129" s="57">
        <v>2</v>
      </c>
      <c r="D1129" s="57" t="s">
        <v>192</v>
      </c>
      <c r="E1129" s="57">
        <v>0</v>
      </c>
      <c r="F1129" s="57">
        <v>0.70030000000000003</v>
      </c>
      <c r="G1129" s="57">
        <v>0.31090000000000001</v>
      </c>
      <c r="H1129" s="57" t="s">
        <v>191</v>
      </c>
      <c r="I1129" s="33">
        <f t="shared" si="4"/>
        <v>1.252492762946285</v>
      </c>
    </row>
    <row r="1130" spans="1:9" x14ac:dyDescent="0.2">
      <c r="A1130" s="70">
        <v>44690</v>
      </c>
      <c r="B1130" s="57">
        <v>2027</v>
      </c>
      <c r="C1130" s="57">
        <v>2</v>
      </c>
      <c r="D1130" s="57" t="s">
        <v>175</v>
      </c>
      <c r="E1130" s="57">
        <v>0</v>
      </c>
      <c r="F1130" s="57">
        <v>0.23430000000000001</v>
      </c>
      <c r="G1130" s="57">
        <v>0.104</v>
      </c>
      <c r="I1130" s="33">
        <f t="shared" si="4"/>
        <v>1.2528846153846156</v>
      </c>
    </row>
    <row r="1131" spans="1:9" x14ac:dyDescent="0.2">
      <c r="A1131" s="70">
        <v>44685</v>
      </c>
      <c r="B1131" s="57">
        <v>2383</v>
      </c>
      <c r="C1131" s="57">
        <v>3</v>
      </c>
      <c r="D1131" s="57" t="s">
        <v>175</v>
      </c>
      <c r="E1131" s="57">
        <v>0</v>
      </c>
      <c r="F1131" s="57">
        <v>4.7100000000000003E-2</v>
      </c>
      <c r="G1131" s="57">
        <v>2.0899999999999998E-2</v>
      </c>
      <c r="I1131" s="33">
        <f t="shared" si="4"/>
        <v>1.2535885167464118</v>
      </c>
    </row>
    <row r="1132" spans="1:9" x14ac:dyDescent="0.2">
      <c r="A1132" s="70">
        <v>44665</v>
      </c>
      <c r="B1132" s="57">
        <v>2012</v>
      </c>
      <c r="C1132" s="57">
        <v>3</v>
      </c>
      <c r="D1132" s="57" t="s">
        <v>192</v>
      </c>
      <c r="E1132" s="57">
        <v>0</v>
      </c>
      <c r="F1132" s="57">
        <v>0.58889999999999998</v>
      </c>
      <c r="G1132" s="57">
        <v>0.26129999999999998</v>
      </c>
      <c r="H1132" s="57" t="s">
        <v>191</v>
      </c>
      <c r="I1132" s="33">
        <f t="shared" si="4"/>
        <v>1.2537313432835822</v>
      </c>
    </row>
    <row r="1133" spans="1:9" x14ac:dyDescent="0.2">
      <c r="A1133" s="70">
        <v>44665</v>
      </c>
      <c r="B1133" s="57">
        <v>2011</v>
      </c>
      <c r="C1133" s="57">
        <v>1</v>
      </c>
      <c r="D1133" s="57" t="s">
        <v>175</v>
      </c>
      <c r="E1133" s="57">
        <v>1</v>
      </c>
      <c r="F1133" s="57">
        <v>0.25290000000000001</v>
      </c>
      <c r="G1133" s="57">
        <v>0.11210000000000001</v>
      </c>
      <c r="H1133" s="57" t="s">
        <v>191</v>
      </c>
      <c r="I1133" s="33">
        <f t="shared" si="4"/>
        <v>1.2560214094558431</v>
      </c>
    </row>
    <row r="1134" spans="1:9" x14ac:dyDescent="0.2">
      <c r="A1134" s="70">
        <v>44665</v>
      </c>
      <c r="B1134" s="57">
        <v>2013</v>
      </c>
      <c r="C1134" s="57">
        <v>1</v>
      </c>
      <c r="D1134" s="57" t="s">
        <v>175</v>
      </c>
      <c r="E1134" s="57">
        <v>1</v>
      </c>
      <c r="F1134" s="57">
        <v>0.1424</v>
      </c>
      <c r="G1134" s="57">
        <v>6.3100000000000003E-2</v>
      </c>
      <c r="H1134" s="57" t="s">
        <v>191</v>
      </c>
      <c r="I1134" s="33">
        <f t="shared" si="4"/>
        <v>1.2567353407290014</v>
      </c>
    </row>
    <row r="1135" spans="1:9" x14ac:dyDescent="0.2">
      <c r="A1135" s="70">
        <v>44650</v>
      </c>
      <c r="B1135" s="57">
        <v>2367</v>
      </c>
      <c r="C1135" s="57">
        <v>1</v>
      </c>
      <c r="D1135" s="57" t="s">
        <v>175</v>
      </c>
      <c r="E1135" s="57">
        <v>1</v>
      </c>
      <c r="F1135" s="57">
        <v>9.0300000000000005E-2</v>
      </c>
      <c r="G1135" s="57">
        <v>0.04</v>
      </c>
      <c r="H1135" s="57" t="s">
        <v>191</v>
      </c>
      <c r="I1135" s="33">
        <f t="shared" si="4"/>
        <v>1.2575000000000001</v>
      </c>
    </row>
    <row r="1136" spans="1:9" x14ac:dyDescent="0.2">
      <c r="A1136" s="70">
        <v>44708</v>
      </c>
      <c r="B1136" s="57">
        <v>2088</v>
      </c>
      <c r="C1136" s="57">
        <v>1</v>
      </c>
      <c r="D1136" s="57" t="s">
        <v>175</v>
      </c>
      <c r="E1136" s="57">
        <v>0</v>
      </c>
      <c r="F1136" s="57">
        <v>5.8700000000000002E-2</v>
      </c>
      <c r="G1136" s="57">
        <v>2.5999999999999999E-2</v>
      </c>
      <c r="H1136" s="57" t="s">
        <v>193</v>
      </c>
      <c r="I1136" s="33">
        <f t="shared" si="4"/>
        <v>1.2576923076923081</v>
      </c>
    </row>
    <row r="1137" spans="1:9" x14ac:dyDescent="0.2">
      <c r="A1137" s="70">
        <v>44706</v>
      </c>
      <c r="B1137" s="57">
        <v>2377</v>
      </c>
      <c r="C1137" s="57">
        <v>2</v>
      </c>
      <c r="D1137" s="57" t="s">
        <v>192</v>
      </c>
      <c r="E1137" s="57">
        <v>0</v>
      </c>
      <c r="F1137" s="57">
        <v>0.13780000000000001</v>
      </c>
      <c r="G1137" s="57">
        <v>6.0999999999999999E-2</v>
      </c>
      <c r="H1137" s="57" t="s">
        <v>193</v>
      </c>
      <c r="I1137" s="33">
        <f t="shared" si="4"/>
        <v>1.2590163934426231</v>
      </c>
    </row>
    <row r="1138" spans="1:9" x14ac:dyDescent="0.2">
      <c r="A1138" s="70">
        <v>44706</v>
      </c>
      <c r="B1138" s="57">
        <v>2009</v>
      </c>
      <c r="C1138" s="57">
        <v>1</v>
      </c>
      <c r="D1138" s="57" t="s">
        <v>175</v>
      </c>
      <c r="E1138" s="57">
        <v>0</v>
      </c>
      <c r="F1138" s="57">
        <v>0.24399999999999999</v>
      </c>
      <c r="G1138" s="57">
        <v>0.108</v>
      </c>
      <c r="H1138" s="57" t="s">
        <v>193</v>
      </c>
      <c r="I1138" s="33">
        <f t="shared" si="4"/>
        <v>1.2592592592592593</v>
      </c>
    </row>
    <row r="1139" spans="1:9" x14ac:dyDescent="0.2">
      <c r="A1139" s="70">
        <v>44690</v>
      </c>
      <c r="B1139" s="57">
        <v>2086</v>
      </c>
      <c r="C1139" s="57">
        <v>2</v>
      </c>
      <c r="D1139" s="57" t="s">
        <v>175</v>
      </c>
      <c r="E1139" s="57">
        <v>1</v>
      </c>
      <c r="F1139" s="57">
        <v>0.221</v>
      </c>
      <c r="G1139" s="57">
        <v>9.7799999999999998E-2</v>
      </c>
      <c r="I1139" s="33">
        <f t="shared" si="4"/>
        <v>1.259713701431493</v>
      </c>
    </row>
    <row r="1140" spans="1:9" x14ac:dyDescent="0.2">
      <c r="A1140" s="70">
        <v>44704</v>
      </c>
      <c r="B1140" s="57">
        <v>2377</v>
      </c>
      <c r="C1140" s="57">
        <v>2</v>
      </c>
      <c r="D1140" s="57" t="s">
        <v>175</v>
      </c>
      <c r="E1140" s="57">
        <v>0</v>
      </c>
      <c r="F1140" s="57">
        <v>6.5600000000000006E-2</v>
      </c>
      <c r="G1140" s="57">
        <v>2.9000000000000001E-2</v>
      </c>
      <c r="I1140" s="33">
        <f t="shared" si="4"/>
        <v>1.2620689655172417</v>
      </c>
    </row>
    <row r="1141" spans="1:9" x14ac:dyDescent="0.2">
      <c r="A1141" s="70">
        <v>44685</v>
      </c>
      <c r="B1141" s="57">
        <v>2011</v>
      </c>
      <c r="C1141" s="57">
        <v>3</v>
      </c>
      <c r="D1141" s="57" t="s">
        <v>175</v>
      </c>
      <c r="E1141" s="57">
        <v>0</v>
      </c>
      <c r="F1141" s="57">
        <v>8.2400000000000001E-2</v>
      </c>
      <c r="G1141" s="57">
        <v>3.6400000000000002E-2</v>
      </c>
      <c r="I1141" s="33">
        <f t="shared" si="4"/>
        <v>1.2637362637362637</v>
      </c>
    </row>
    <row r="1142" spans="1:9" x14ac:dyDescent="0.2">
      <c r="A1142" s="70">
        <v>44665</v>
      </c>
      <c r="B1142" s="57">
        <v>2379</v>
      </c>
      <c r="C1142" s="57">
        <v>3</v>
      </c>
      <c r="D1142" s="57" t="s">
        <v>175</v>
      </c>
      <c r="E1142" s="57">
        <v>0</v>
      </c>
      <c r="F1142" s="57">
        <v>0.1633</v>
      </c>
      <c r="G1142" s="57">
        <v>7.2099999999999997E-2</v>
      </c>
      <c r="H1142" s="57" t="s">
        <v>191</v>
      </c>
      <c r="I1142" s="33">
        <f t="shared" si="4"/>
        <v>1.2649098474341194</v>
      </c>
    </row>
    <row r="1143" spans="1:9" x14ac:dyDescent="0.2">
      <c r="A1143" s="70">
        <v>44690</v>
      </c>
      <c r="B1143" s="57">
        <v>2089</v>
      </c>
      <c r="C1143" s="57">
        <v>1</v>
      </c>
      <c r="D1143" s="57" t="s">
        <v>192</v>
      </c>
      <c r="E1143" s="57">
        <v>0</v>
      </c>
      <c r="F1143" s="57">
        <v>1.1533</v>
      </c>
      <c r="G1143" s="57">
        <v>0.50860000000000005</v>
      </c>
      <c r="I1143" s="33">
        <f t="shared" si="4"/>
        <v>1.2675973259929214</v>
      </c>
    </row>
    <row r="1144" spans="1:9" x14ac:dyDescent="0.2">
      <c r="A1144" s="70">
        <v>44690</v>
      </c>
      <c r="B1144" s="57">
        <v>2088</v>
      </c>
      <c r="C1144" s="57">
        <v>2</v>
      </c>
      <c r="D1144" s="57" t="s">
        <v>175</v>
      </c>
      <c r="E1144" s="57">
        <v>1</v>
      </c>
      <c r="F1144" s="57">
        <v>0.4012</v>
      </c>
      <c r="G1144" s="57">
        <v>0.1769</v>
      </c>
      <c r="I1144" s="33">
        <f t="shared" si="4"/>
        <v>1.2679479932165065</v>
      </c>
    </row>
    <row r="1145" spans="1:9" x14ac:dyDescent="0.2">
      <c r="A1145" s="70">
        <v>44706</v>
      </c>
      <c r="B1145" s="57">
        <v>2378</v>
      </c>
      <c r="C1145" s="57">
        <v>2</v>
      </c>
      <c r="D1145" s="57" t="s">
        <v>175</v>
      </c>
      <c r="E1145" s="57">
        <v>0</v>
      </c>
      <c r="F1145" s="57">
        <v>0.22700000000000001</v>
      </c>
      <c r="G1145" s="57">
        <v>0.1</v>
      </c>
      <c r="H1145" s="57" t="s">
        <v>193</v>
      </c>
      <c r="I1145" s="33">
        <f t="shared" si="4"/>
        <v>1.27</v>
      </c>
    </row>
    <row r="1146" spans="1:9" x14ac:dyDescent="0.2">
      <c r="A1146" s="70">
        <v>44662</v>
      </c>
      <c r="B1146" s="57">
        <v>2087</v>
      </c>
      <c r="C1146" s="57">
        <v>1</v>
      </c>
      <c r="D1146" s="57" t="s">
        <v>192</v>
      </c>
      <c r="E1146" s="57">
        <v>0</v>
      </c>
      <c r="F1146" s="57">
        <v>1.0510999999999999</v>
      </c>
      <c r="G1146" s="57">
        <v>0.46300000000000002</v>
      </c>
      <c r="H1146" s="57" t="s">
        <v>191</v>
      </c>
      <c r="I1146" s="33">
        <f t="shared" si="4"/>
        <v>1.2701943844492436</v>
      </c>
    </row>
    <row r="1147" spans="1:9" x14ac:dyDescent="0.2">
      <c r="A1147" s="70">
        <v>44685</v>
      </c>
      <c r="B1147" s="57">
        <v>2378</v>
      </c>
      <c r="C1147" s="57">
        <v>1</v>
      </c>
      <c r="D1147" s="57" t="s">
        <v>175</v>
      </c>
      <c r="E1147" s="57">
        <v>0</v>
      </c>
      <c r="F1147" s="57">
        <v>7.22E-2</v>
      </c>
      <c r="G1147" s="57">
        <v>3.1800000000000002E-2</v>
      </c>
      <c r="I1147" s="33">
        <f t="shared" si="4"/>
        <v>1.270440251572327</v>
      </c>
    </row>
    <row r="1148" spans="1:9" x14ac:dyDescent="0.2">
      <c r="A1148" s="70">
        <v>44663</v>
      </c>
      <c r="B1148" s="57">
        <v>2354</v>
      </c>
      <c r="C1148" s="57">
        <v>3</v>
      </c>
      <c r="D1148" s="57" t="s">
        <v>175</v>
      </c>
      <c r="E1148" s="57">
        <v>1</v>
      </c>
      <c r="F1148" s="57">
        <v>0.27700000000000002</v>
      </c>
      <c r="G1148" s="57">
        <v>0.122</v>
      </c>
      <c r="H1148" s="57" t="s">
        <v>195</v>
      </c>
      <c r="I1148" s="33">
        <f t="shared" si="4"/>
        <v>1.2704918032786887</v>
      </c>
    </row>
    <row r="1149" spans="1:9" x14ac:dyDescent="0.2">
      <c r="A1149" s="70">
        <v>44665</v>
      </c>
      <c r="B1149" s="57">
        <v>2351</v>
      </c>
      <c r="C1149" s="57">
        <v>1</v>
      </c>
      <c r="D1149" s="57" t="s">
        <v>192</v>
      </c>
      <c r="E1149" s="57">
        <v>0</v>
      </c>
      <c r="F1149" s="57">
        <v>0.45610000000000001</v>
      </c>
      <c r="G1149" s="57">
        <v>0.20080000000000001</v>
      </c>
      <c r="H1149" s="57" t="s">
        <v>191</v>
      </c>
      <c r="I1149" s="33">
        <f t="shared" si="4"/>
        <v>1.2714143426294819</v>
      </c>
    </row>
    <row r="1150" spans="1:9" x14ac:dyDescent="0.2">
      <c r="A1150" s="70">
        <v>44706</v>
      </c>
      <c r="B1150" s="57">
        <v>2379</v>
      </c>
      <c r="C1150" s="57">
        <v>2</v>
      </c>
      <c r="D1150" s="57" t="s">
        <v>175</v>
      </c>
      <c r="E1150" s="57">
        <v>0</v>
      </c>
      <c r="F1150" s="57">
        <v>0.1091</v>
      </c>
      <c r="G1150" s="57">
        <v>4.8000000000000001E-2</v>
      </c>
      <c r="H1150" s="57" t="s">
        <v>193</v>
      </c>
      <c r="I1150" s="33">
        <f t="shared" si="4"/>
        <v>1.2729166666666667</v>
      </c>
    </row>
    <row r="1151" spans="1:9" x14ac:dyDescent="0.2">
      <c r="A1151" s="70">
        <v>44650</v>
      </c>
      <c r="B1151" s="57">
        <v>2360</v>
      </c>
      <c r="C1151" s="57">
        <v>3</v>
      </c>
      <c r="D1151" s="57" t="s">
        <v>192</v>
      </c>
      <c r="E1151" s="57" t="s">
        <v>60</v>
      </c>
      <c r="F1151" s="57">
        <v>1.2667999999999999</v>
      </c>
      <c r="G1151" s="57">
        <v>0.55700000000000005</v>
      </c>
      <c r="H1151" s="57" t="s">
        <v>191</v>
      </c>
      <c r="I1151" s="33">
        <f t="shared" si="4"/>
        <v>1.2743267504488327</v>
      </c>
    </row>
    <row r="1152" spans="1:9" x14ac:dyDescent="0.2">
      <c r="A1152" s="70">
        <v>44663</v>
      </c>
      <c r="B1152" s="57">
        <v>2346</v>
      </c>
      <c r="C1152" s="57">
        <v>1</v>
      </c>
      <c r="D1152" s="57" t="s">
        <v>192</v>
      </c>
      <c r="E1152" s="57">
        <v>0</v>
      </c>
      <c r="F1152" s="57">
        <v>0.97799999999999998</v>
      </c>
      <c r="G1152" s="57">
        <v>0.43</v>
      </c>
      <c r="H1152" s="57" t="s">
        <v>195</v>
      </c>
      <c r="I1152" s="33">
        <f t="shared" si="4"/>
        <v>1.274418604651163</v>
      </c>
    </row>
    <row r="1153" spans="1:9" x14ac:dyDescent="0.2">
      <c r="A1153" s="70">
        <v>44650</v>
      </c>
      <c r="B1153" s="57">
        <v>2364</v>
      </c>
      <c r="C1153" s="57">
        <v>2</v>
      </c>
      <c r="D1153" s="57" t="s">
        <v>192</v>
      </c>
      <c r="E1153" s="57" t="s">
        <v>60</v>
      </c>
      <c r="F1153" s="57">
        <v>1.1874</v>
      </c>
      <c r="G1153" s="57">
        <v>0.52200000000000002</v>
      </c>
      <c r="H1153" s="57" t="s">
        <v>191</v>
      </c>
      <c r="I1153" s="33">
        <f t="shared" si="4"/>
        <v>1.2747126436781608</v>
      </c>
    </row>
    <row r="1154" spans="1:9" x14ac:dyDescent="0.2">
      <c r="A1154" s="70">
        <v>44706</v>
      </c>
      <c r="B1154" s="57">
        <v>2382</v>
      </c>
      <c r="C1154" s="57">
        <v>1</v>
      </c>
      <c r="D1154" s="57" t="s">
        <v>175</v>
      </c>
      <c r="E1154" s="57">
        <v>0</v>
      </c>
      <c r="F1154" s="57">
        <v>4.53E-2</v>
      </c>
      <c r="G1154" s="57">
        <v>1.9900000000000001E-2</v>
      </c>
      <c r="H1154" s="57" t="s">
        <v>193</v>
      </c>
      <c r="I1154" s="33">
        <f t="shared" si="4"/>
        <v>1.2763819095477387</v>
      </c>
    </row>
    <row r="1155" spans="1:9" x14ac:dyDescent="0.2">
      <c r="A1155" s="70">
        <v>44650</v>
      </c>
      <c r="B1155" s="57">
        <v>2343</v>
      </c>
      <c r="C1155" s="57">
        <v>2</v>
      </c>
      <c r="D1155" s="57" t="s">
        <v>175</v>
      </c>
      <c r="E1155" s="57">
        <v>1</v>
      </c>
      <c r="F1155" s="57">
        <v>0.20280000000000001</v>
      </c>
      <c r="G1155" s="57">
        <v>8.8999999999999996E-2</v>
      </c>
      <c r="H1155" s="57" t="s">
        <v>191</v>
      </c>
      <c r="I1155" s="33">
        <f t="shared" si="4"/>
        <v>1.2786516853932586</v>
      </c>
    </row>
    <row r="1156" spans="1:9" x14ac:dyDescent="0.2">
      <c r="A1156" s="70">
        <v>44665</v>
      </c>
      <c r="B1156" s="57">
        <v>2383</v>
      </c>
      <c r="C1156" s="57">
        <v>1</v>
      </c>
      <c r="D1156" s="57" t="s">
        <v>175</v>
      </c>
      <c r="E1156" s="57">
        <v>0</v>
      </c>
      <c r="F1156" s="57">
        <v>9.2999999999999999E-2</v>
      </c>
      <c r="G1156" s="57">
        <v>4.0800000000000003E-2</v>
      </c>
      <c r="H1156" s="57" t="s">
        <v>191</v>
      </c>
      <c r="I1156" s="33">
        <f t="shared" si="4"/>
        <v>1.2794117647058822</v>
      </c>
    </row>
    <row r="1157" spans="1:9" x14ac:dyDescent="0.2">
      <c r="A1157" s="70">
        <v>44665</v>
      </c>
      <c r="B1157" s="57">
        <v>2360</v>
      </c>
      <c r="C1157" s="57">
        <v>1</v>
      </c>
      <c r="D1157" s="57" t="s">
        <v>175</v>
      </c>
      <c r="E1157" s="57">
        <v>0</v>
      </c>
      <c r="F1157" s="57">
        <v>0.114</v>
      </c>
      <c r="G1157" s="57">
        <v>0.05</v>
      </c>
      <c r="H1157" s="57" t="s">
        <v>191</v>
      </c>
      <c r="I1157" s="33">
        <f t="shared" si="4"/>
        <v>1.28</v>
      </c>
    </row>
    <row r="1158" spans="1:9" x14ac:dyDescent="0.2">
      <c r="A1158" s="70">
        <v>44708</v>
      </c>
      <c r="B1158" s="57">
        <v>2092</v>
      </c>
      <c r="C1158" s="57">
        <v>2</v>
      </c>
      <c r="D1158" s="57" t="s">
        <v>175</v>
      </c>
      <c r="E1158" s="57">
        <v>0</v>
      </c>
      <c r="F1158" s="57">
        <v>5.7000000000000002E-2</v>
      </c>
      <c r="G1158" s="57">
        <v>2.5000000000000001E-2</v>
      </c>
      <c r="H1158" s="57" t="s">
        <v>193</v>
      </c>
      <c r="I1158" s="33">
        <f t="shared" si="4"/>
        <v>1.28</v>
      </c>
    </row>
    <row r="1159" spans="1:9" x14ac:dyDescent="0.2">
      <c r="A1159" s="70">
        <v>44650</v>
      </c>
      <c r="B1159" s="57">
        <v>2369</v>
      </c>
      <c r="C1159" s="57">
        <v>3</v>
      </c>
      <c r="D1159" s="57" t="s">
        <v>175</v>
      </c>
      <c r="E1159" s="57">
        <v>1</v>
      </c>
      <c r="F1159" s="57">
        <v>0.15509999999999999</v>
      </c>
      <c r="G1159" s="57">
        <v>6.8000000000000005E-2</v>
      </c>
      <c r="H1159" s="57" t="s">
        <v>191</v>
      </c>
      <c r="I1159" s="33">
        <f t="shared" si="4"/>
        <v>1.2808823529411761</v>
      </c>
    </row>
    <row r="1160" spans="1:9" x14ac:dyDescent="0.2">
      <c r="A1160" s="70">
        <v>44635</v>
      </c>
      <c r="B1160" s="57">
        <v>2378</v>
      </c>
      <c r="C1160" s="57">
        <v>1</v>
      </c>
      <c r="D1160" s="57" t="s">
        <v>192</v>
      </c>
      <c r="E1160" s="57">
        <v>0</v>
      </c>
      <c r="F1160" s="57">
        <v>2.6560000000000001</v>
      </c>
      <c r="G1160" s="57">
        <v>1.1639999999999999</v>
      </c>
      <c r="H1160" s="57" t="s">
        <v>194</v>
      </c>
      <c r="I1160" s="33">
        <f t="shared" si="4"/>
        <v>1.2817869415807563</v>
      </c>
    </row>
    <row r="1161" spans="1:9" x14ac:dyDescent="0.2">
      <c r="A1161" s="70">
        <v>44650</v>
      </c>
      <c r="B1161" s="57">
        <v>2367</v>
      </c>
      <c r="C1161" s="57">
        <v>1</v>
      </c>
      <c r="D1161" s="57" t="s">
        <v>175</v>
      </c>
      <c r="E1161" s="57">
        <v>1</v>
      </c>
      <c r="F1161" s="57">
        <v>0.21679999999999999</v>
      </c>
      <c r="G1161" s="57">
        <v>9.5000000000000001E-2</v>
      </c>
      <c r="H1161" s="57" t="s">
        <v>191</v>
      </c>
      <c r="I1161" s="33">
        <f t="shared" si="4"/>
        <v>1.2821052631578946</v>
      </c>
    </row>
    <row r="1162" spans="1:9" x14ac:dyDescent="0.2">
      <c r="A1162" s="70">
        <v>44665</v>
      </c>
      <c r="B1162" s="57">
        <v>2381</v>
      </c>
      <c r="C1162" s="57">
        <v>3</v>
      </c>
      <c r="D1162" s="57" t="s">
        <v>175</v>
      </c>
      <c r="E1162" s="57">
        <v>1</v>
      </c>
      <c r="F1162" s="57">
        <v>0.20949999999999999</v>
      </c>
      <c r="G1162" s="57">
        <v>9.1800000000000007E-2</v>
      </c>
      <c r="H1162" s="57" t="s">
        <v>191</v>
      </c>
      <c r="I1162" s="33">
        <f t="shared" si="4"/>
        <v>1.282135076252723</v>
      </c>
    </row>
    <row r="1163" spans="1:9" x14ac:dyDescent="0.2">
      <c r="A1163" s="70">
        <v>44650</v>
      </c>
      <c r="B1163" s="57">
        <v>2375</v>
      </c>
      <c r="C1163" s="57">
        <v>2</v>
      </c>
      <c r="D1163" s="57" t="s">
        <v>175</v>
      </c>
      <c r="E1163" s="57">
        <v>1</v>
      </c>
      <c r="F1163" s="57">
        <v>0.1027</v>
      </c>
      <c r="G1163" s="57">
        <v>4.4999999999999998E-2</v>
      </c>
      <c r="H1163" s="57" t="s">
        <v>191</v>
      </c>
      <c r="I1163" s="33">
        <f t="shared" si="4"/>
        <v>1.2822222222222224</v>
      </c>
    </row>
    <row r="1164" spans="1:9" x14ac:dyDescent="0.2">
      <c r="A1164" s="70">
        <v>44690</v>
      </c>
      <c r="B1164" s="57">
        <v>2088</v>
      </c>
      <c r="C1164" s="57">
        <v>1</v>
      </c>
      <c r="D1164" s="57" t="s">
        <v>175</v>
      </c>
      <c r="E1164" s="57">
        <v>0</v>
      </c>
      <c r="F1164" s="57">
        <v>0.13650000000000001</v>
      </c>
      <c r="G1164" s="57">
        <v>5.9799999999999999E-2</v>
      </c>
      <c r="I1164" s="33">
        <f t="shared" si="4"/>
        <v>1.2826086956521743</v>
      </c>
    </row>
    <row r="1165" spans="1:9" x14ac:dyDescent="0.2">
      <c r="A1165" s="70">
        <v>44650</v>
      </c>
      <c r="B1165" s="57">
        <v>2375</v>
      </c>
      <c r="C1165" s="57">
        <v>1</v>
      </c>
      <c r="D1165" s="57" t="s">
        <v>175</v>
      </c>
      <c r="E1165" s="57">
        <v>1</v>
      </c>
      <c r="F1165" s="57">
        <v>6.6199999999999995E-2</v>
      </c>
      <c r="G1165" s="57">
        <v>2.9000000000000001E-2</v>
      </c>
      <c r="H1165" s="57" t="s">
        <v>191</v>
      </c>
      <c r="I1165" s="33">
        <f t="shared" si="4"/>
        <v>1.2827586206896551</v>
      </c>
    </row>
    <row r="1166" spans="1:9" x14ac:dyDescent="0.2">
      <c r="A1166" s="70">
        <v>44650</v>
      </c>
      <c r="B1166" s="57">
        <v>2364</v>
      </c>
      <c r="C1166" s="57">
        <v>2</v>
      </c>
      <c r="D1166" s="57" t="s">
        <v>175</v>
      </c>
      <c r="E1166" s="57">
        <v>1</v>
      </c>
      <c r="F1166" s="57">
        <v>0.29239999999999999</v>
      </c>
      <c r="G1166" s="57">
        <v>0.128</v>
      </c>
      <c r="H1166" s="57" t="s">
        <v>191</v>
      </c>
      <c r="I1166" s="33">
        <f t="shared" si="4"/>
        <v>1.2843749999999998</v>
      </c>
    </row>
    <row r="1167" spans="1:9" x14ac:dyDescent="0.2">
      <c r="A1167" s="70">
        <v>44665</v>
      </c>
      <c r="B1167" s="57">
        <v>2005</v>
      </c>
      <c r="C1167" s="57">
        <v>1</v>
      </c>
      <c r="D1167" s="57" t="s">
        <v>175</v>
      </c>
      <c r="E1167" s="57">
        <v>0</v>
      </c>
      <c r="F1167" s="57">
        <v>0.35849999999999999</v>
      </c>
      <c r="G1167" s="57">
        <v>0.15690000000000001</v>
      </c>
      <c r="H1167" s="57" t="s">
        <v>191</v>
      </c>
      <c r="I1167" s="33">
        <f t="shared" si="4"/>
        <v>1.2848948374760991</v>
      </c>
    </row>
    <row r="1168" spans="1:9" x14ac:dyDescent="0.2">
      <c r="A1168" s="70">
        <v>44663</v>
      </c>
      <c r="B1168" s="57">
        <v>2346</v>
      </c>
      <c r="C1168" s="57">
        <v>3</v>
      </c>
      <c r="D1168" s="57" t="s">
        <v>192</v>
      </c>
      <c r="E1168" s="57">
        <v>0</v>
      </c>
      <c r="F1168" s="57">
        <v>0.56899999999999995</v>
      </c>
      <c r="G1168" s="57">
        <v>0.249</v>
      </c>
      <c r="H1168" s="57" t="s">
        <v>195</v>
      </c>
      <c r="I1168" s="33">
        <f t="shared" si="4"/>
        <v>1.2851405622489958</v>
      </c>
    </row>
    <row r="1169" spans="1:9" x14ac:dyDescent="0.2">
      <c r="A1169" s="70">
        <v>44708</v>
      </c>
      <c r="B1169" s="57">
        <v>2091</v>
      </c>
      <c r="C1169" s="57">
        <v>3</v>
      </c>
      <c r="D1169" s="57" t="s">
        <v>175</v>
      </c>
      <c r="E1169" s="57">
        <v>0</v>
      </c>
      <c r="F1169" s="57">
        <v>7.0900000000000005E-2</v>
      </c>
      <c r="G1169" s="57">
        <v>3.1E-2</v>
      </c>
      <c r="H1169" s="57" t="s">
        <v>193</v>
      </c>
      <c r="I1169" s="33">
        <f t="shared" si="4"/>
        <v>1.2870967741935486</v>
      </c>
    </row>
    <row r="1170" spans="1:9" x14ac:dyDescent="0.2">
      <c r="A1170" s="70">
        <v>44650</v>
      </c>
      <c r="B1170" s="57">
        <v>2372</v>
      </c>
      <c r="C1170" s="57">
        <v>2</v>
      </c>
      <c r="D1170" s="57" t="s">
        <v>175</v>
      </c>
      <c r="E1170" s="57">
        <v>1</v>
      </c>
      <c r="F1170" s="57">
        <v>0.1145</v>
      </c>
      <c r="G1170" s="57">
        <v>0.05</v>
      </c>
      <c r="H1170" s="57" t="s">
        <v>191</v>
      </c>
      <c r="I1170" s="33">
        <f t="shared" si="4"/>
        <v>1.29</v>
      </c>
    </row>
    <row r="1171" spans="1:9" x14ac:dyDescent="0.2">
      <c r="A1171" s="70">
        <v>44635</v>
      </c>
      <c r="B1171" s="57">
        <v>2007</v>
      </c>
      <c r="C1171" s="57">
        <v>1</v>
      </c>
      <c r="D1171" s="57" t="s">
        <v>192</v>
      </c>
      <c r="E1171" s="57">
        <v>0</v>
      </c>
      <c r="F1171" s="57">
        <v>1.867</v>
      </c>
      <c r="G1171" s="57">
        <v>0.81499999999999995</v>
      </c>
      <c r="H1171" s="57" t="s">
        <v>194</v>
      </c>
      <c r="I1171" s="33">
        <f t="shared" si="4"/>
        <v>1.29079754601227</v>
      </c>
    </row>
    <row r="1172" spans="1:9" x14ac:dyDescent="0.2">
      <c r="A1172" s="70">
        <v>44685</v>
      </c>
      <c r="B1172" s="57">
        <v>2375</v>
      </c>
      <c r="C1172" s="57">
        <v>3</v>
      </c>
      <c r="D1172" s="57" t="s">
        <v>175</v>
      </c>
      <c r="E1172" s="57">
        <v>0</v>
      </c>
      <c r="F1172" s="57">
        <v>0.19040000000000001</v>
      </c>
      <c r="G1172" s="57">
        <v>8.3099999999999993E-2</v>
      </c>
      <c r="I1172" s="33">
        <f t="shared" si="4"/>
        <v>1.2912154031287608</v>
      </c>
    </row>
    <row r="1173" spans="1:9" x14ac:dyDescent="0.2">
      <c r="A1173" s="70">
        <v>44706</v>
      </c>
      <c r="B1173" s="57">
        <v>2375</v>
      </c>
      <c r="C1173" s="57">
        <v>3</v>
      </c>
      <c r="D1173" s="57" t="s">
        <v>175</v>
      </c>
      <c r="E1173" s="57">
        <v>0</v>
      </c>
      <c r="F1173" s="57">
        <v>0.13519999999999999</v>
      </c>
      <c r="G1173" s="57">
        <v>5.8999999999999997E-2</v>
      </c>
      <c r="H1173" s="57" t="s">
        <v>193</v>
      </c>
      <c r="I1173" s="33">
        <f t="shared" si="4"/>
        <v>1.2915254237288134</v>
      </c>
    </row>
    <row r="1174" spans="1:9" x14ac:dyDescent="0.2">
      <c r="A1174" s="70">
        <v>44665</v>
      </c>
      <c r="B1174" s="57">
        <v>2384</v>
      </c>
      <c r="C1174" s="57">
        <v>3</v>
      </c>
      <c r="D1174" s="57" t="s">
        <v>175</v>
      </c>
      <c r="E1174" s="57">
        <v>0</v>
      </c>
      <c r="F1174" s="57">
        <v>0.1618</v>
      </c>
      <c r="G1174" s="57">
        <v>7.0599999999999996E-2</v>
      </c>
      <c r="H1174" s="57" t="s">
        <v>191</v>
      </c>
      <c r="I1174" s="33">
        <f t="shared" si="4"/>
        <v>1.2917847025495752</v>
      </c>
    </row>
    <row r="1175" spans="1:9" x14ac:dyDescent="0.2">
      <c r="A1175" s="70">
        <v>44665</v>
      </c>
      <c r="B1175" s="57">
        <v>2384</v>
      </c>
      <c r="C1175" s="57">
        <v>1</v>
      </c>
      <c r="D1175" s="57" t="s">
        <v>175</v>
      </c>
      <c r="E1175" s="57">
        <v>0</v>
      </c>
      <c r="F1175" s="57">
        <v>0.15770000000000001</v>
      </c>
      <c r="G1175" s="57">
        <v>6.88E-2</v>
      </c>
      <c r="H1175" s="57" t="s">
        <v>191</v>
      </c>
      <c r="I1175" s="33">
        <f t="shared" si="4"/>
        <v>1.2921511627906979</v>
      </c>
    </row>
    <row r="1176" spans="1:9" x14ac:dyDescent="0.2">
      <c r="A1176" s="70">
        <v>44690</v>
      </c>
      <c r="B1176" s="57">
        <v>2022</v>
      </c>
      <c r="C1176" s="57">
        <v>2</v>
      </c>
      <c r="D1176" s="57" t="s">
        <v>175</v>
      </c>
      <c r="E1176" s="57">
        <v>0</v>
      </c>
      <c r="F1176" s="57">
        <v>0.17330000000000001</v>
      </c>
      <c r="G1176" s="57">
        <v>7.5600000000000001E-2</v>
      </c>
      <c r="I1176" s="33">
        <f t="shared" si="4"/>
        <v>1.2923280423280425</v>
      </c>
    </row>
    <row r="1177" spans="1:9" x14ac:dyDescent="0.2">
      <c r="A1177" s="70">
        <v>44665</v>
      </c>
      <c r="B1177" s="57">
        <v>2028</v>
      </c>
      <c r="C1177" s="57">
        <v>1</v>
      </c>
      <c r="D1177" s="57" t="s">
        <v>175</v>
      </c>
      <c r="E1177" s="57">
        <v>1</v>
      </c>
      <c r="F1177" s="57">
        <v>0.1298</v>
      </c>
      <c r="G1177" s="57">
        <v>5.6599999999999998E-2</v>
      </c>
      <c r="H1177" s="57" t="s">
        <v>191</v>
      </c>
      <c r="I1177" s="33">
        <f t="shared" si="4"/>
        <v>1.2932862190812722</v>
      </c>
    </row>
    <row r="1178" spans="1:9" x14ac:dyDescent="0.2">
      <c r="A1178" s="70">
        <v>44706</v>
      </c>
      <c r="B1178" s="57">
        <v>2379</v>
      </c>
      <c r="C1178" s="57">
        <v>3</v>
      </c>
      <c r="D1178" s="57" t="s">
        <v>175</v>
      </c>
      <c r="E1178" s="57">
        <v>0</v>
      </c>
      <c r="F1178" s="57">
        <v>0.11700000000000001</v>
      </c>
      <c r="G1178" s="57">
        <v>5.0999999999999997E-2</v>
      </c>
      <c r="H1178" s="57" t="s">
        <v>193</v>
      </c>
      <c r="I1178" s="33">
        <f t="shared" si="4"/>
        <v>1.2941176470588236</v>
      </c>
    </row>
    <row r="1179" spans="1:9" x14ac:dyDescent="0.2">
      <c r="A1179" s="70">
        <v>44685</v>
      </c>
      <c r="B1179" s="57">
        <v>2372</v>
      </c>
      <c r="C1179" s="57">
        <v>3</v>
      </c>
      <c r="D1179" s="57" t="s">
        <v>175</v>
      </c>
      <c r="E1179" s="57">
        <v>0</v>
      </c>
      <c r="F1179" s="57">
        <v>0.14269999999999999</v>
      </c>
      <c r="G1179" s="57">
        <v>6.2199999999999998E-2</v>
      </c>
      <c r="I1179" s="33">
        <f t="shared" si="4"/>
        <v>1.2942122186495175</v>
      </c>
    </row>
    <row r="1180" spans="1:9" x14ac:dyDescent="0.2">
      <c r="A1180" s="70">
        <v>44706</v>
      </c>
      <c r="B1180" s="57">
        <v>2370</v>
      </c>
      <c r="C1180" s="57">
        <v>3</v>
      </c>
      <c r="D1180" s="57" t="s">
        <v>175</v>
      </c>
      <c r="E1180" s="57">
        <v>0</v>
      </c>
      <c r="F1180" s="57">
        <v>4.82E-2</v>
      </c>
      <c r="G1180" s="57">
        <v>2.1000000000000001E-2</v>
      </c>
      <c r="H1180" s="57" t="s">
        <v>193</v>
      </c>
      <c r="I1180" s="33">
        <f t="shared" si="4"/>
        <v>1.2952380952380951</v>
      </c>
    </row>
    <row r="1181" spans="1:9" x14ac:dyDescent="0.2">
      <c r="A1181" s="70">
        <v>44663</v>
      </c>
      <c r="B1181" s="57">
        <v>2009</v>
      </c>
      <c r="C1181" s="57">
        <v>1</v>
      </c>
      <c r="D1181" s="57" t="s">
        <v>192</v>
      </c>
      <c r="E1181" s="57">
        <v>0</v>
      </c>
      <c r="F1181" s="57">
        <v>2.33</v>
      </c>
      <c r="G1181" s="57">
        <v>1.0149999999999999</v>
      </c>
      <c r="H1181" s="57" t="s">
        <v>195</v>
      </c>
      <c r="I1181" s="33">
        <f t="shared" si="4"/>
        <v>1.2955665024630545</v>
      </c>
    </row>
    <row r="1182" spans="1:9" x14ac:dyDescent="0.2">
      <c r="A1182" s="70">
        <v>44665</v>
      </c>
      <c r="B1182" s="57">
        <v>2027</v>
      </c>
      <c r="C1182" s="57">
        <v>1</v>
      </c>
      <c r="D1182" s="57" t="s">
        <v>175</v>
      </c>
      <c r="E1182" s="57">
        <v>0</v>
      </c>
      <c r="F1182" s="57">
        <v>0.2056</v>
      </c>
      <c r="G1182" s="57">
        <v>8.9499999999999996E-2</v>
      </c>
      <c r="H1182" s="57" t="s">
        <v>191</v>
      </c>
      <c r="I1182" s="33">
        <f t="shared" si="4"/>
        <v>1.2972067039106148</v>
      </c>
    </row>
    <row r="1183" spans="1:9" x14ac:dyDescent="0.2">
      <c r="A1183" s="70">
        <v>44663</v>
      </c>
      <c r="B1183" s="57">
        <v>2347</v>
      </c>
      <c r="C1183" s="57">
        <v>3</v>
      </c>
      <c r="D1183" s="57" t="s">
        <v>192</v>
      </c>
      <c r="E1183" s="57">
        <v>0</v>
      </c>
      <c r="F1183" s="57">
        <v>0.34699999999999998</v>
      </c>
      <c r="G1183" s="57">
        <v>0.151</v>
      </c>
      <c r="H1183" s="57" t="s">
        <v>195</v>
      </c>
      <c r="I1183" s="33">
        <f t="shared" si="4"/>
        <v>1.2980132450331126</v>
      </c>
    </row>
    <row r="1184" spans="1:9" x14ac:dyDescent="0.2">
      <c r="A1184" s="70">
        <v>44690</v>
      </c>
      <c r="B1184" s="57">
        <v>2015</v>
      </c>
      <c r="C1184" s="57">
        <v>3</v>
      </c>
      <c r="D1184" s="57" t="s">
        <v>175</v>
      </c>
      <c r="E1184" s="57">
        <v>0</v>
      </c>
      <c r="F1184" s="57">
        <v>0.12870000000000001</v>
      </c>
      <c r="G1184" s="57">
        <v>5.6000000000000001E-2</v>
      </c>
      <c r="I1184" s="33">
        <f t="shared" si="4"/>
        <v>1.298214285714286</v>
      </c>
    </row>
    <row r="1185" spans="1:9" x14ac:dyDescent="0.2">
      <c r="A1185" s="70">
        <v>44685</v>
      </c>
      <c r="B1185" s="57">
        <v>2354</v>
      </c>
      <c r="C1185" s="57">
        <v>1</v>
      </c>
      <c r="D1185" s="57" t="s">
        <v>175</v>
      </c>
      <c r="E1185" s="57">
        <v>0</v>
      </c>
      <c r="F1185" s="57">
        <v>2.46E-2</v>
      </c>
      <c r="G1185" s="57">
        <v>1.0699999999999999E-2</v>
      </c>
      <c r="I1185" s="33">
        <f t="shared" si="4"/>
        <v>1.2990654205607479</v>
      </c>
    </row>
    <row r="1186" spans="1:9" x14ac:dyDescent="0.2">
      <c r="A1186" s="70">
        <v>44635</v>
      </c>
      <c r="B1186" s="57">
        <v>2379</v>
      </c>
      <c r="C1186" s="57">
        <v>1</v>
      </c>
      <c r="D1186" s="57" t="s">
        <v>192</v>
      </c>
      <c r="E1186" s="57">
        <v>0</v>
      </c>
      <c r="F1186" s="57">
        <v>1.831</v>
      </c>
      <c r="G1186" s="57">
        <v>0.79600000000000004</v>
      </c>
      <c r="H1186" s="57" t="s">
        <v>194</v>
      </c>
      <c r="I1186" s="33">
        <f t="shared" si="4"/>
        <v>1.3002512562814068</v>
      </c>
    </row>
    <row r="1187" spans="1:9" x14ac:dyDescent="0.2">
      <c r="A1187" s="70">
        <v>44650</v>
      </c>
      <c r="B1187" s="57">
        <v>2378</v>
      </c>
      <c r="C1187" s="57">
        <v>2</v>
      </c>
      <c r="D1187" s="57" t="s">
        <v>175</v>
      </c>
      <c r="E1187" s="57">
        <v>1</v>
      </c>
      <c r="F1187" s="57">
        <v>0.14510000000000001</v>
      </c>
      <c r="G1187" s="57">
        <v>6.3E-2</v>
      </c>
      <c r="H1187" s="57" t="s">
        <v>191</v>
      </c>
      <c r="I1187" s="33">
        <f t="shared" si="4"/>
        <v>1.3031746031746032</v>
      </c>
    </row>
    <row r="1188" spans="1:9" x14ac:dyDescent="0.2">
      <c r="A1188" s="70">
        <v>44708</v>
      </c>
      <c r="B1188" s="57">
        <v>2089</v>
      </c>
      <c r="C1188" s="57">
        <v>1</v>
      </c>
      <c r="D1188" s="57" t="s">
        <v>175</v>
      </c>
      <c r="E1188" s="57">
        <v>0</v>
      </c>
      <c r="F1188" s="57">
        <v>0.20499999999999999</v>
      </c>
      <c r="G1188" s="57">
        <v>8.8999999999999996E-2</v>
      </c>
      <c r="H1188" s="57" t="s">
        <v>193</v>
      </c>
      <c r="I1188" s="33">
        <f t="shared" si="4"/>
        <v>1.303370786516854</v>
      </c>
    </row>
    <row r="1189" spans="1:9" x14ac:dyDescent="0.2">
      <c r="A1189" s="70">
        <v>44650</v>
      </c>
      <c r="B1189" s="57">
        <v>2371</v>
      </c>
      <c r="C1189" s="57">
        <v>1</v>
      </c>
      <c r="D1189" s="57" t="s">
        <v>175</v>
      </c>
      <c r="E1189" s="57">
        <v>1</v>
      </c>
      <c r="F1189" s="57">
        <v>0.19120000000000001</v>
      </c>
      <c r="G1189" s="57">
        <v>8.3000000000000004E-2</v>
      </c>
      <c r="H1189" s="57" t="s">
        <v>191</v>
      </c>
      <c r="I1189" s="33">
        <f t="shared" si="4"/>
        <v>1.3036144578313253</v>
      </c>
    </row>
    <row r="1190" spans="1:9" x14ac:dyDescent="0.2">
      <c r="A1190" s="70">
        <v>44690</v>
      </c>
      <c r="B1190" s="57">
        <v>2021</v>
      </c>
      <c r="C1190" s="57">
        <v>3</v>
      </c>
      <c r="D1190" s="57" t="s">
        <v>175</v>
      </c>
      <c r="E1190" s="57">
        <v>0</v>
      </c>
      <c r="F1190" s="57">
        <v>0.12520000000000001</v>
      </c>
      <c r="G1190" s="57">
        <v>5.4300000000000001E-2</v>
      </c>
      <c r="I1190" s="33">
        <f t="shared" si="4"/>
        <v>1.3057090239410682</v>
      </c>
    </row>
    <row r="1191" spans="1:9" x14ac:dyDescent="0.2">
      <c r="A1191" s="70">
        <v>44690</v>
      </c>
      <c r="B1191" s="57">
        <v>2026</v>
      </c>
      <c r="C1191" s="57">
        <v>3</v>
      </c>
      <c r="D1191" s="57" t="s">
        <v>175</v>
      </c>
      <c r="E1191" s="57">
        <v>0</v>
      </c>
      <c r="F1191" s="57">
        <v>0.18099999999999999</v>
      </c>
      <c r="G1191" s="57">
        <v>7.85E-2</v>
      </c>
      <c r="I1191" s="33">
        <f t="shared" si="4"/>
        <v>1.3057324840764331</v>
      </c>
    </row>
    <row r="1192" spans="1:9" x14ac:dyDescent="0.2">
      <c r="A1192" s="70">
        <v>44665</v>
      </c>
      <c r="B1192" s="57">
        <v>1478</v>
      </c>
      <c r="C1192" s="57">
        <v>1</v>
      </c>
      <c r="D1192" s="57" t="s">
        <v>192</v>
      </c>
      <c r="E1192" s="57">
        <v>0</v>
      </c>
      <c r="F1192" s="57">
        <v>1.2112000000000001</v>
      </c>
      <c r="G1192" s="57">
        <v>0.52490000000000003</v>
      </c>
      <c r="H1192" s="57" t="s">
        <v>191</v>
      </c>
      <c r="I1192" s="33">
        <f t="shared" si="4"/>
        <v>1.3074871404076966</v>
      </c>
    </row>
    <row r="1193" spans="1:9" x14ac:dyDescent="0.2">
      <c r="A1193" s="70">
        <v>44665</v>
      </c>
      <c r="B1193" s="57">
        <v>2026</v>
      </c>
      <c r="C1193" s="57">
        <v>2</v>
      </c>
      <c r="D1193" s="57" t="s">
        <v>175</v>
      </c>
      <c r="E1193" s="57">
        <v>0</v>
      </c>
      <c r="F1193" s="57">
        <v>0.13919999999999999</v>
      </c>
      <c r="G1193" s="57">
        <v>6.0199999999999997E-2</v>
      </c>
      <c r="H1193" s="57" t="s">
        <v>191</v>
      </c>
      <c r="I1193" s="33">
        <f t="shared" si="4"/>
        <v>1.3122923588039865</v>
      </c>
    </row>
    <row r="1194" spans="1:9" x14ac:dyDescent="0.2">
      <c r="A1194" s="70">
        <v>44690</v>
      </c>
      <c r="B1194" s="57">
        <v>1475</v>
      </c>
      <c r="C1194" s="57">
        <v>1</v>
      </c>
      <c r="D1194" s="57" t="s">
        <v>175</v>
      </c>
      <c r="E1194" s="57">
        <v>1</v>
      </c>
      <c r="F1194" s="57">
        <v>0.37569999999999998</v>
      </c>
      <c r="G1194" s="57">
        <v>0.1623</v>
      </c>
      <c r="I1194" s="33">
        <f t="shared" si="4"/>
        <v>1.3148490449784349</v>
      </c>
    </row>
    <row r="1195" spans="1:9" x14ac:dyDescent="0.2">
      <c r="A1195" s="70">
        <v>44665</v>
      </c>
      <c r="B1195" s="57">
        <v>2009</v>
      </c>
      <c r="C1195" s="57">
        <v>1</v>
      </c>
      <c r="D1195" s="57" t="s">
        <v>175</v>
      </c>
      <c r="E1195" s="57">
        <v>0</v>
      </c>
      <c r="F1195" s="57">
        <v>0.18820000000000001</v>
      </c>
      <c r="G1195" s="57">
        <v>8.1299999999999997E-2</v>
      </c>
      <c r="H1195" s="57" t="s">
        <v>191</v>
      </c>
      <c r="I1195" s="33">
        <f t="shared" si="4"/>
        <v>1.3148831488314885</v>
      </c>
    </row>
    <row r="1196" spans="1:9" x14ac:dyDescent="0.2">
      <c r="A1196" s="70">
        <v>44685</v>
      </c>
      <c r="B1196" s="57">
        <v>2354</v>
      </c>
      <c r="C1196" s="57">
        <v>3</v>
      </c>
      <c r="D1196" s="57" t="s">
        <v>175</v>
      </c>
      <c r="E1196" s="57">
        <v>0</v>
      </c>
      <c r="F1196" s="57">
        <v>0.21490000000000001</v>
      </c>
      <c r="G1196" s="57">
        <v>9.2799999999999994E-2</v>
      </c>
      <c r="I1196" s="33">
        <f t="shared" si="4"/>
        <v>1.3157327586206899</v>
      </c>
    </row>
    <row r="1197" spans="1:9" x14ac:dyDescent="0.2">
      <c r="A1197" s="70">
        <v>44706</v>
      </c>
      <c r="B1197" s="57">
        <v>2009</v>
      </c>
      <c r="C1197" s="57">
        <v>2</v>
      </c>
      <c r="D1197" s="57" t="s">
        <v>175</v>
      </c>
      <c r="E1197" s="57">
        <v>0</v>
      </c>
      <c r="F1197" s="57">
        <v>8.7999999999999995E-2</v>
      </c>
      <c r="G1197" s="57">
        <v>3.7999999999999999E-2</v>
      </c>
      <c r="H1197" s="57" t="s">
        <v>193</v>
      </c>
      <c r="I1197" s="33">
        <f t="shared" si="4"/>
        <v>1.3157894736842104</v>
      </c>
    </row>
    <row r="1198" spans="1:9" x14ac:dyDescent="0.2">
      <c r="A1198" s="70">
        <v>44708</v>
      </c>
      <c r="B1198" s="57">
        <v>2087</v>
      </c>
      <c r="C1198" s="57">
        <v>1</v>
      </c>
      <c r="D1198" s="57" t="s">
        <v>175</v>
      </c>
      <c r="E1198" s="57">
        <v>0</v>
      </c>
      <c r="F1198" s="57">
        <v>0.44</v>
      </c>
      <c r="G1198" s="57">
        <v>0.19</v>
      </c>
      <c r="H1198" s="57" t="s">
        <v>193</v>
      </c>
      <c r="I1198" s="33">
        <f t="shared" si="4"/>
        <v>1.3157894736842106</v>
      </c>
    </row>
    <row r="1199" spans="1:9" x14ac:dyDescent="0.2">
      <c r="A1199" s="70">
        <v>44665</v>
      </c>
      <c r="B1199" s="57">
        <v>2026</v>
      </c>
      <c r="C1199" s="57">
        <v>1</v>
      </c>
      <c r="D1199" s="57" t="s">
        <v>175</v>
      </c>
      <c r="E1199" s="57">
        <v>0</v>
      </c>
      <c r="F1199" s="57">
        <v>0.20499999999999999</v>
      </c>
      <c r="G1199" s="57">
        <v>8.8499999999999995E-2</v>
      </c>
      <c r="H1199" s="57" t="s">
        <v>191</v>
      </c>
      <c r="I1199" s="33">
        <f t="shared" si="4"/>
        <v>1.3163841807909604</v>
      </c>
    </row>
    <row r="1200" spans="1:9" x14ac:dyDescent="0.2">
      <c r="A1200" s="70">
        <v>44708</v>
      </c>
      <c r="B1200" s="57">
        <v>2089</v>
      </c>
      <c r="C1200" s="57">
        <v>3</v>
      </c>
      <c r="D1200" s="57" t="s">
        <v>175</v>
      </c>
      <c r="E1200" s="57">
        <v>0</v>
      </c>
      <c r="F1200" s="57">
        <v>9.5000000000000001E-2</v>
      </c>
      <c r="G1200" s="57">
        <v>4.1000000000000002E-2</v>
      </c>
      <c r="H1200" s="57" t="s">
        <v>193</v>
      </c>
      <c r="I1200" s="33">
        <f t="shared" si="4"/>
        <v>1.3170731707317072</v>
      </c>
    </row>
    <row r="1201" spans="1:9" x14ac:dyDescent="0.2">
      <c r="A1201" s="70">
        <v>44690</v>
      </c>
      <c r="B1201" s="57">
        <v>2086</v>
      </c>
      <c r="C1201" s="57">
        <v>1</v>
      </c>
      <c r="D1201" s="57" t="s">
        <v>175</v>
      </c>
      <c r="E1201" s="57">
        <v>1</v>
      </c>
      <c r="F1201" s="57">
        <v>0.38080000000000003</v>
      </c>
      <c r="G1201" s="57">
        <v>0.16420000000000001</v>
      </c>
      <c r="I1201" s="33">
        <f t="shared" si="4"/>
        <v>1.3191230207064555</v>
      </c>
    </row>
    <row r="1202" spans="1:9" x14ac:dyDescent="0.2">
      <c r="A1202" s="70">
        <v>44665</v>
      </c>
      <c r="B1202" s="57">
        <v>2031</v>
      </c>
      <c r="C1202" s="57">
        <v>1</v>
      </c>
      <c r="D1202" s="57" t="s">
        <v>175</v>
      </c>
      <c r="E1202" s="57">
        <v>0</v>
      </c>
      <c r="F1202" s="57">
        <v>0.41</v>
      </c>
      <c r="G1202" s="57">
        <v>0.17660000000000001</v>
      </c>
      <c r="H1202" s="57" t="s">
        <v>191</v>
      </c>
      <c r="I1202" s="33">
        <f t="shared" si="4"/>
        <v>1.3216308040770099</v>
      </c>
    </row>
    <row r="1203" spans="1:9" x14ac:dyDescent="0.2">
      <c r="A1203" s="70">
        <v>44665</v>
      </c>
      <c r="B1203" s="57">
        <v>2007</v>
      </c>
      <c r="C1203" s="57">
        <v>1</v>
      </c>
      <c r="D1203" s="57" t="s">
        <v>175</v>
      </c>
      <c r="E1203" s="57">
        <v>0</v>
      </c>
      <c r="F1203" s="57">
        <v>0.1605</v>
      </c>
      <c r="G1203" s="57">
        <v>6.9099999999999995E-2</v>
      </c>
      <c r="H1203" s="57" t="s">
        <v>191</v>
      </c>
      <c r="I1203" s="33">
        <f t="shared" si="4"/>
        <v>1.3227206946454417</v>
      </c>
    </row>
    <row r="1204" spans="1:9" x14ac:dyDescent="0.2">
      <c r="A1204" s="70">
        <v>44663</v>
      </c>
      <c r="B1204" s="57">
        <v>2354</v>
      </c>
      <c r="C1204" s="57">
        <v>2</v>
      </c>
      <c r="D1204" s="57" t="s">
        <v>192</v>
      </c>
      <c r="E1204" s="57">
        <v>0</v>
      </c>
      <c r="F1204" s="57">
        <v>0.89900000000000002</v>
      </c>
      <c r="G1204" s="57">
        <v>0.38700000000000001</v>
      </c>
      <c r="H1204" s="57" t="s">
        <v>195</v>
      </c>
      <c r="I1204" s="33">
        <f t="shared" si="4"/>
        <v>1.3229974160206719</v>
      </c>
    </row>
    <row r="1205" spans="1:9" x14ac:dyDescent="0.2">
      <c r="A1205" s="70">
        <v>44706</v>
      </c>
      <c r="B1205" s="57">
        <v>2375</v>
      </c>
      <c r="C1205" s="57">
        <v>1</v>
      </c>
      <c r="D1205" s="57" t="s">
        <v>175</v>
      </c>
      <c r="E1205" s="57">
        <v>0</v>
      </c>
      <c r="F1205" s="57">
        <v>0.20680000000000001</v>
      </c>
      <c r="G1205" s="57">
        <v>8.8999999999999996E-2</v>
      </c>
      <c r="H1205" s="57" t="s">
        <v>193</v>
      </c>
      <c r="I1205" s="33">
        <f t="shared" si="4"/>
        <v>1.3235955056179778</v>
      </c>
    </row>
    <row r="1206" spans="1:9" x14ac:dyDescent="0.2">
      <c r="A1206" s="70">
        <v>44690</v>
      </c>
      <c r="B1206" s="57">
        <v>2092</v>
      </c>
      <c r="C1206" s="57">
        <v>2</v>
      </c>
      <c r="D1206" s="57" t="s">
        <v>175</v>
      </c>
      <c r="E1206" s="57">
        <v>0</v>
      </c>
      <c r="F1206" s="57">
        <v>1.8599999999999998E-2</v>
      </c>
      <c r="G1206" s="57">
        <v>8.0000000000000002E-3</v>
      </c>
      <c r="I1206" s="33">
        <f t="shared" si="4"/>
        <v>1.3249999999999997</v>
      </c>
    </row>
    <row r="1207" spans="1:9" x14ac:dyDescent="0.2">
      <c r="A1207" s="70">
        <v>44650</v>
      </c>
      <c r="B1207" s="57">
        <v>2360</v>
      </c>
      <c r="C1207" s="57">
        <v>2</v>
      </c>
      <c r="D1207" s="57" t="s">
        <v>175</v>
      </c>
      <c r="E1207" s="57">
        <v>1</v>
      </c>
      <c r="F1207" s="57">
        <v>0.32790000000000002</v>
      </c>
      <c r="G1207" s="57">
        <v>0.14099999999999999</v>
      </c>
      <c r="H1207" s="57" t="s">
        <v>191</v>
      </c>
      <c r="I1207" s="33">
        <f t="shared" si="4"/>
        <v>1.3255319148936173</v>
      </c>
    </row>
    <row r="1208" spans="1:9" x14ac:dyDescent="0.2">
      <c r="A1208" s="70">
        <v>44690</v>
      </c>
      <c r="B1208" s="57">
        <v>2089</v>
      </c>
      <c r="C1208" s="57">
        <v>1</v>
      </c>
      <c r="D1208" s="57" t="s">
        <v>175</v>
      </c>
      <c r="E1208" s="57">
        <v>1</v>
      </c>
      <c r="F1208" s="57">
        <v>0.1333</v>
      </c>
      <c r="G1208" s="57">
        <v>5.7299999999999997E-2</v>
      </c>
      <c r="I1208" s="33">
        <f t="shared" si="4"/>
        <v>1.3263525305410124</v>
      </c>
    </row>
    <row r="1209" spans="1:9" x14ac:dyDescent="0.2">
      <c r="A1209" s="70">
        <v>44665</v>
      </c>
      <c r="B1209" s="57">
        <v>2351</v>
      </c>
      <c r="C1209" s="57">
        <v>2</v>
      </c>
      <c r="D1209" s="57" t="s">
        <v>175</v>
      </c>
      <c r="E1209" s="57">
        <v>0</v>
      </c>
      <c r="F1209" s="57">
        <v>1.84E-2</v>
      </c>
      <c r="G1209" s="57">
        <v>7.9000000000000008E-3</v>
      </c>
      <c r="H1209" s="57" t="s">
        <v>191</v>
      </c>
      <c r="I1209" s="33">
        <f t="shared" si="4"/>
        <v>1.3291139240506327</v>
      </c>
    </row>
    <row r="1210" spans="1:9" x14ac:dyDescent="0.2">
      <c r="A1210" s="70">
        <v>44665</v>
      </c>
      <c r="B1210" s="57">
        <v>2378</v>
      </c>
      <c r="C1210" s="57">
        <v>2</v>
      </c>
      <c r="D1210" s="57" t="s">
        <v>175</v>
      </c>
      <c r="E1210" s="57">
        <v>1</v>
      </c>
      <c r="F1210" s="57">
        <v>0.22370000000000001</v>
      </c>
      <c r="G1210" s="57">
        <v>9.5899999999999999E-2</v>
      </c>
      <c r="H1210" s="57" t="s">
        <v>191</v>
      </c>
      <c r="I1210" s="33">
        <f t="shared" si="4"/>
        <v>1.3326381647549534</v>
      </c>
    </row>
    <row r="1211" spans="1:9" x14ac:dyDescent="0.2">
      <c r="A1211" s="70">
        <v>44650</v>
      </c>
      <c r="B1211" s="57">
        <v>2360</v>
      </c>
      <c r="C1211" s="57">
        <v>3</v>
      </c>
      <c r="D1211" s="57" t="s">
        <v>175</v>
      </c>
      <c r="E1211" s="57">
        <v>1</v>
      </c>
      <c r="F1211" s="57">
        <v>0.217</v>
      </c>
      <c r="G1211" s="57">
        <v>9.2999999999999999E-2</v>
      </c>
      <c r="H1211" s="57" t="s">
        <v>191</v>
      </c>
      <c r="I1211" s="33">
        <f t="shared" si="4"/>
        <v>1.3333333333333333</v>
      </c>
    </row>
    <row r="1212" spans="1:9" x14ac:dyDescent="0.2">
      <c r="A1212" s="70">
        <v>44663</v>
      </c>
      <c r="B1212" s="57">
        <v>2347</v>
      </c>
      <c r="C1212" s="57">
        <v>2</v>
      </c>
      <c r="D1212" s="57" t="s">
        <v>175</v>
      </c>
      <c r="E1212" s="57">
        <v>0</v>
      </c>
      <c r="F1212" s="57">
        <v>4.9000000000000002E-2</v>
      </c>
      <c r="G1212" s="57">
        <v>2.1000000000000001E-2</v>
      </c>
      <c r="H1212" s="57" t="s">
        <v>195</v>
      </c>
      <c r="I1212" s="33">
        <f t="shared" si="4"/>
        <v>1.3333333333333333</v>
      </c>
    </row>
    <row r="1213" spans="1:9" x14ac:dyDescent="0.2">
      <c r="A1213" s="70">
        <v>44690</v>
      </c>
      <c r="B1213" s="57">
        <v>2085</v>
      </c>
      <c r="C1213" s="57">
        <v>2</v>
      </c>
      <c r="D1213" s="57" t="s">
        <v>175</v>
      </c>
      <c r="E1213" s="57">
        <v>0</v>
      </c>
      <c r="F1213" s="57">
        <v>9.7799999999999998E-2</v>
      </c>
      <c r="G1213" s="57">
        <v>4.19E-2</v>
      </c>
      <c r="I1213" s="33">
        <f t="shared" si="4"/>
        <v>1.334128878281623</v>
      </c>
    </row>
    <row r="1214" spans="1:9" x14ac:dyDescent="0.2">
      <c r="A1214" s="70">
        <v>44690</v>
      </c>
      <c r="B1214" s="57">
        <v>2088</v>
      </c>
      <c r="C1214" s="57">
        <v>3</v>
      </c>
      <c r="D1214" s="57" t="s">
        <v>175</v>
      </c>
      <c r="E1214" s="57">
        <v>0</v>
      </c>
      <c r="F1214" s="57">
        <v>7.3300000000000004E-2</v>
      </c>
      <c r="G1214" s="57">
        <v>3.1399999999999997E-2</v>
      </c>
      <c r="I1214" s="33">
        <f t="shared" si="4"/>
        <v>1.334394904458599</v>
      </c>
    </row>
    <row r="1215" spans="1:9" x14ac:dyDescent="0.2">
      <c r="A1215" s="70">
        <v>44650</v>
      </c>
      <c r="B1215" s="57">
        <v>2364</v>
      </c>
      <c r="C1215" s="57">
        <v>1</v>
      </c>
      <c r="D1215" s="57" t="s">
        <v>192</v>
      </c>
      <c r="E1215" s="57" t="s">
        <v>60</v>
      </c>
      <c r="F1215" s="57">
        <v>0.42309999999999998</v>
      </c>
      <c r="G1215" s="57">
        <v>0.18099999999999999</v>
      </c>
      <c r="H1215" s="57" t="s">
        <v>191</v>
      </c>
      <c r="I1215" s="33">
        <f t="shared" si="4"/>
        <v>1.3375690607734807</v>
      </c>
    </row>
    <row r="1216" spans="1:9" x14ac:dyDescent="0.2">
      <c r="A1216" s="70">
        <v>44663</v>
      </c>
      <c r="B1216" s="57">
        <v>2009</v>
      </c>
      <c r="C1216" s="57">
        <v>3</v>
      </c>
      <c r="D1216" s="57" t="s">
        <v>192</v>
      </c>
      <c r="E1216" s="57">
        <v>0</v>
      </c>
      <c r="F1216" s="57">
        <v>2.7490000000000001</v>
      </c>
      <c r="G1216" s="57">
        <v>1.1759999999999999</v>
      </c>
      <c r="H1216" s="57" t="s">
        <v>195</v>
      </c>
      <c r="I1216" s="33">
        <f t="shared" si="4"/>
        <v>1.3375850340136057</v>
      </c>
    </row>
    <row r="1217" spans="1:9" x14ac:dyDescent="0.2">
      <c r="A1217" s="70">
        <v>44665</v>
      </c>
      <c r="B1217" s="57">
        <v>1478</v>
      </c>
      <c r="C1217" s="57">
        <v>1</v>
      </c>
      <c r="D1217" s="57" t="s">
        <v>175</v>
      </c>
      <c r="E1217" s="57">
        <v>1</v>
      </c>
      <c r="F1217" s="57">
        <v>0.20880000000000001</v>
      </c>
      <c r="G1217" s="57">
        <v>8.9300000000000004E-2</v>
      </c>
      <c r="H1217" s="57" t="s">
        <v>191</v>
      </c>
      <c r="I1217" s="33">
        <f t="shared" si="4"/>
        <v>1.3381858902575587</v>
      </c>
    </row>
    <row r="1218" spans="1:9" x14ac:dyDescent="0.2">
      <c r="A1218" s="70">
        <v>44663</v>
      </c>
      <c r="B1218" s="57">
        <v>2354</v>
      </c>
      <c r="C1218" s="57">
        <v>1</v>
      </c>
      <c r="D1218" s="57" t="s">
        <v>175</v>
      </c>
      <c r="E1218" s="57">
        <v>1</v>
      </c>
      <c r="F1218" s="57">
        <v>0.26900000000000002</v>
      </c>
      <c r="G1218" s="57">
        <v>0.115</v>
      </c>
      <c r="H1218" s="57" t="s">
        <v>195</v>
      </c>
      <c r="I1218" s="33">
        <f t="shared" si="4"/>
        <v>1.339130434782609</v>
      </c>
    </row>
    <row r="1219" spans="1:9" x14ac:dyDescent="0.2">
      <c r="A1219" s="70">
        <v>44663</v>
      </c>
      <c r="B1219" s="57">
        <v>2354</v>
      </c>
      <c r="C1219" s="57">
        <v>3</v>
      </c>
      <c r="D1219" s="57" t="s">
        <v>192</v>
      </c>
      <c r="E1219" s="57">
        <v>0</v>
      </c>
      <c r="F1219" s="57">
        <v>0.496</v>
      </c>
      <c r="G1219" s="57">
        <v>0.21199999999999999</v>
      </c>
      <c r="H1219" s="57" t="s">
        <v>195</v>
      </c>
      <c r="I1219" s="33">
        <f t="shared" si="4"/>
        <v>1.3396226415094341</v>
      </c>
    </row>
    <row r="1220" spans="1:9" x14ac:dyDescent="0.2">
      <c r="A1220" s="70">
        <v>44662</v>
      </c>
      <c r="B1220" s="57">
        <v>2087</v>
      </c>
      <c r="C1220" s="57">
        <v>1</v>
      </c>
      <c r="D1220" s="57" t="s">
        <v>175</v>
      </c>
      <c r="E1220" s="57">
        <v>1</v>
      </c>
      <c r="F1220" s="57">
        <v>0.14599999999999999</v>
      </c>
      <c r="G1220" s="57">
        <v>6.2399999999999997E-2</v>
      </c>
      <c r="H1220" s="57" t="s">
        <v>191</v>
      </c>
      <c r="I1220" s="33">
        <f t="shared" si="4"/>
        <v>1.3397435897435896</v>
      </c>
    </row>
    <row r="1221" spans="1:9" x14ac:dyDescent="0.2">
      <c r="A1221" s="70">
        <v>44665</v>
      </c>
      <c r="B1221" s="57">
        <v>2004</v>
      </c>
      <c r="C1221" s="57">
        <v>1</v>
      </c>
      <c r="D1221" s="57" t="s">
        <v>175</v>
      </c>
      <c r="E1221" s="57">
        <v>0</v>
      </c>
      <c r="F1221" s="57">
        <v>0.245</v>
      </c>
      <c r="G1221" s="57">
        <v>0.1046</v>
      </c>
      <c r="H1221" s="57" t="s">
        <v>191</v>
      </c>
      <c r="I1221" s="33">
        <f t="shared" si="4"/>
        <v>1.3422562141491396</v>
      </c>
    </row>
    <row r="1222" spans="1:9" x14ac:dyDescent="0.2">
      <c r="A1222" s="70">
        <v>44708</v>
      </c>
      <c r="B1222" s="57">
        <v>2092</v>
      </c>
      <c r="C1222" s="57">
        <v>3</v>
      </c>
      <c r="D1222" s="57" t="s">
        <v>175</v>
      </c>
      <c r="E1222" s="57">
        <v>0</v>
      </c>
      <c r="F1222" s="57">
        <v>7.4999999999999997E-2</v>
      </c>
      <c r="G1222" s="57">
        <v>3.2000000000000001E-2</v>
      </c>
      <c r="H1222" s="57" t="s">
        <v>193</v>
      </c>
      <c r="I1222" s="33">
        <f t="shared" si="4"/>
        <v>1.3437499999999998</v>
      </c>
    </row>
    <row r="1223" spans="1:9" x14ac:dyDescent="0.2">
      <c r="A1223" s="70">
        <v>44706</v>
      </c>
      <c r="B1223" s="57">
        <v>2009</v>
      </c>
      <c r="C1223" s="57">
        <v>3</v>
      </c>
      <c r="D1223" s="57" t="s">
        <v>175</v>
      </c>
      <c r="E1223" s="57">
        <v>0</v>
      </c>
      <c r="F1223" s="57">
        <v>4.2200000000000001E-2</v>
      </c>
      <c r="G1223" s="57">
        <v>1.7999999999999999E-2</v>
      </c>
      <c r="H1223" s="57" t="s">
        <v>193</v>
      </c>
      <c r="I1223" s="33">
        <f t="shared" si="4"/>
        <v>1.3444444444444448</v>
      </c>
    </row>
    <row r="1224" spans="1:9" x14ac:dyDescent="0.2">
      <c r="A1224" s="70">
        <v>44685</v>
      </c>
      <c r="B1224" s="57">
        <v>2372</v>
      </c>
      <c r="C1224" s="57">
        <v>2</v>
      </c>
      <c r="D1224" s="57" t="s">
        <v>175</v>
      </c>
      <c r="E1224" s="57">
        <v>0</v>
      </c>
      <c r="F1224" s="57">
        <v>8.9099999999999999E-2</v>
      </c>
      <c r="G1224" s="57">
        <v>3.7999999999999999E-2</v>
      </c>
      <c r="I1224" s="33">
        <f t="shared" si="4"/>
        <v>1.3447368421052632</v>
      </c>
    </row>
    <row r="1225" spans="1:9" x14ac:dyDescent="0.2">
      <c r="A1225" s="70">
        <v>44685</v>
      </c>
      <c r="B1225" s="57">
        <v>2011</v>
      </c>
      <c r="C1225" s="57">
        <v>1</v>
      </c>
      <c r="D1225" s="57" t="s">
        <v>175</v>
      </c>
      <c r="E1225" s="57">
        <v>0</v>
      </c>
      <c r="F1225" s="57">
        <v>9.3600000000000003E-2</v>
      </c>
      <c r="G1225" s="57">
        <v>3.9899999999999998E-2</v>
      </c>
      <c r="I1225" s="33">
        <f t="shared" si="4"/>
        <v>1.3458646616541354</v>
      </c>
    </row>
    <row r="1226" spans="1:9" x14ac:dyDescent="0.2">
      <c r="A1226" s="70">
        <v>44706</v>
      </c>
      <c r="B1226" s="57">
        <v>2010</v>
      </c>
      <c r="C1226" s="57">
        <v>1</v>
      </c>
      <c r="D1226" s="57" t="s">
        <v>175</v>
      </c>
      <c r="E1226" s="57">
        <v>0</v>
      </c>
      <c r="F1226" s="57">
        <v>8.6800000000000002E-2</v>
      </c>
      <c r="G1226" s="57">
        <v>3.6999999999999998E-2</v>
      </c>
      <c r="H1226" s="57" t="s">
        <v>193</v>
      </c>
      <c r="I1226" s="33">
        <f t="shared" si="4"/>
        <v>1.3459459459459462</v>
      </c>
    </row>
    <row r="1227" spans="1:9" x14ac:dyDescent="0.2">
      <c r="A1227" s="70">
        <v>44635</v>
      </c>
      <c r="B1227" s="57">
        <v>2382</v>
      </c>
      <c r="C1227" s="57">
        <v>1</v>
      </c>
      <c r="D1227" s="57" t="s">
        <v>192</v>
      </c>
      <c r="E1227" s="57">
        <v>0</v>
      </c>
      <c r="F1227" s="57">
        <v>2.629</v>
      </c>
      <c r="G1227" s="57">
        <v>1.1200000000000001</v>
      </c>
      <c r="H1227" s="57" t="s">
        <v>194</v>
      </c>
      <c r="I1227" s="33">
        <f t="shared" si="4"/>
        <v>1.3473214285714283</v>
      </c>
    </row>
    <row r="1228" spans="1:9" x14ac:dyDescent="0.2">
      <c r="A1228" s="70">
        <v>44708</v>
      </c>
      <c r="B1228" s="57">
        <v>2088</v>
      </c>
      <c r="C1228" s="57">
        <v>2</v>
      </c>
      <c r="D1228" s="57" t="s">
        <v>175</v>
      </c>
      <c r="E1228" s="57">
        <v>0</v>
      </c>
      <c r="F1228" s="57">
        <v>0.36880000000000002</v>
      </c>
      <c r="G1228" s="57">
        <v>0.157</v>
      </c>
      <c r="H1228" s="57" t="s">
        <v>193</v>
      </c>
      <c r="I1228" s="33">
        <f t="shared" si="4"/>
        <v>1.3490445859872613</v>
      </c>
    </row>
    <row r="1229" spans="1:9" x14ac:dyDescent="0.2">
      <c r="A1229" s="70">
        <v>44706</v>
      </c>
      <c r="B1229" s="57">
        <v>2380</v>
      </c>
      <c r="C1229" s="57">
        <v>2</v>
      </c>
      <c r="D1229" s="57" t="s">
        <v>175</v>
      </c>
      <c r="E1229" s="57">
        <v>0</v>
      </c>
      <c r="F1229" s="57">
        <v>2.6800000000000001E-2</v>
      </c>
      <c r="G1229" s="57">
        <v>1.14E-2</v>
      </c>
      <c r="H1229" s="57" t="s">
        <v>193</v>
      </c>
      <c r="I1229" s="33">
        <f t="shared" si="4"/>
        <v>1.3508771929824561</v>
      </c>
    </row>
    <row r="1230" spans="1:9" x14ac:dyDescent="0.2">
      <c r="A1230" s="70">
        <v>44685</v>
      </c>
      <c r="B1230" s="57">
        <v>2375</v>
      </c>
      <c r="C1230" s="57">
        <v>3</v>
      </c>
      <c r="D1230" s="57" t="s">
        <v>175</v>
      </c>
      <c r="E1230" s="57">
        <v>0</v>
      </c>
      <c r="F1230" s="57">
        <v>0.18340000000000001</v>
      </c>
      <c r="G1230" s="57">
        <v>7.8E-2</v>
      </c>
      <c r="I1230" s="33">
        <f t="shared" si="4"/>
        <v>1.3512820512820514</v>
      </c>
    </row>
    <row r="1231" spans="1:9" x14ac:dyDescent="0.2">
      <c r="A1231" s="70">
        <v>44663</v>
      </c>
      <c r="B1231" s="57">
        <v>2347</v>
      </c>
      <c r="C1231" s="57">
        <v>1</v>
      </c>
      <c r="D1231" s="57" t="s">
        <v>192</v>
      </c>
      <c r="E1231" s="57">
        <v>0</v>
      </c>
      <c r="F1231" s="57">
        <v>1.1910000000000001</v>
      </c>
      <c r="G1231" s="57">
        <v>0.50600000000000001</v>
      </c>
      <c r="H1231" s="57" t="s">
        <v>195</v>
      </c>
      <c r="I1231" s="33">
        <f t="shared" si="4"/>
        <v>1.3537549407114626</v>
      </c>
    </row>
    <row r="1232" spans="1:9" x14ac:dyDescent="0.2">
      <c r="A1232" s="70">
        <v>44690</v>
      </c>
      <c r="B1232" s="57">
        <v>2091</v>
      </c>
      <c r="C1232" s="57">
        <v>1</v>
      </c>
      <c r="D1232" s="57" t="s">
        <v>175</v>
      </c>
      <c r="E1232" s="57">
        <v>0</v>
      </c>
      <c r="F1232" s="57">
        <v>0.1837</v>
      </c>
      <c r="G1232" s="57">
        <v>7.8E-2</v>
      </c>
      <c r="I1232" s="33">
        <f t="shared" si="4"/>
        <v>1.3551282051282052</v>
      </c>
    </row>
    <row r="1233" spans="1:9" x14ac:dyDescent="0.2">
      <c r="A1233" s="70">
        <v>44690</v>
      </c>
      <c r="B1233" s="57">
        <v>2020</v>
      </c>
      <c r="C1233" s="57">
        <v>2</v>
      </c>
      <c r="D1233" s="57" t="s">
        <v>175</v>
      </c>
      <c r="E1233" s="57">
        <v>0</v>
      </c>
      <c r="F1233" s="57">
        <v>0.25219999999999998</v>
      </c>
      <c r="G1233" s="57">
        <v>0.107</v>
      </c>
      <c r="I1233" s="33">
        <f t="shared" si="4"/>
        <v>1.3570093457943926</v>
      </c>
    </row>
    <row r="1234" spans="1:9" x14ac:dyDescent="0.2">
      <c r="A1234" s="70">
        <v>44690</v>
      </c>
      <c r="B1234" s="57">
        <v>2024</v>
      </c>
      <c r="C1234" s="57">
        <v>2</v>
      </c>
      <c r="D1234" s="57" t="s">
        <v>175</v>
      </c>
      <c r="E1234" s="57">
        <v>0</v>
      </c>
      <c r="F1234" s="57">
        <v>0.12330000000000001</v>
      </c>
      <c r="G1234" s="57">
        <v>5.2299999999999999E-2</v>
      </c>
      <c r="I1234" s="33">
        <f t="shared" si="4"/>
        <v>1.3575525812619504</v>
      </c>
    </row>
    <row r="1235" spans="1:9" x14ac:dyDescent="0.2">
      <c r="A1235" s="70">
        <v>44663</v>
      </c>
      <c r="B1235" s="57">
        <v>2346</v>
      </c>
      <c r="C1235" s="57">
        <v>2</v>
      </c>
      <c r="D1235" s="57" t="s">
        <v>192</v>
      </c>
      <c r="E1235" s="57">
        <v>0</v>
      </c>
      <c r="F1235" s="57">
        <v>0.22900000000000001</v>
      </c>
      <c r="G1235" s="57">
        <v>9.7000000000000003E-2</v>
      </c>
      <c r="H1235" s="57" t="s">
        <v>195</v>
      </c>
      <c r="I1235" s="33">
        <f t="shared" si="4"/>
        <v>1.3608247422680413</v>
      </c>
    </row>
    <row r="1236" spans="1:9" x14ac:dyDescent="0.2">
      <c r="A1236" s="70">
        <v>44690</v>
      </c>
      <c r="B1236" s="57">
        <v>2006</v>
      </c>
      <c r="C1236" s="57">
        <v>2</v>
      </c>
      <c r="D1236" s="57" t="s">
        <v>175</v>
      </c>
      <c r="E1236" s="57">
        <v>0</v>
      </c>
      <c r="F1236" s="57">
        <v>0.12989999999999999</v>
      </c>
      <c r="G1236" s="57">
        <v>5.5E-2</v>
      </c>
      <c r="I1236" s="33">
        <f t="shared" si="4"/>
        <v>1.3618181818181818</v>
      </c>
    </row>
    <row r="1237" spans="1:9" x14ac:dyDescent="0.2">
      <c r="A1237" s="70">
        <v>44665</v>
      </c>
      <c r="B1237" s="57">
        <v>2367</v>
      </c>
      <c r="C1237" s="57">
        <v>1</v>
      </c>
      <c r="D1237" s="57" t="s">
        <v>175</v>
      </c>
      <c r="E1237" s="57">
        <v>0</v>
      </c>
      <c r="F1237" s="57">
        <v>2.7400000000000001E-2</v>
      </c>
      <c r="G1237" s="57">
        <v>1.1599999999999999E-2</v>
      </c>
      <c r="H1237" s="57" t="s">
        <v>191</v>
      </c>
      <c r="I1237" s="33">
        <f t="shared" si="4"/>
        <v>1.3620689655172415</v>
      </c>
    </row>
    <row r="1238" spans="1:9" x14ac:dyDescent="0.2">
      <c r="A1238" s="70">
        <v>44650</v>
      </c>
      <c r="B1238" s="57">
        <v>2360</v>
      </c>
      <c r="C1238" s="57">
        <v>2</v>
      </c>
      <c r="D1238" s="57" t="s">
        <v>192</v>
      </c>
      <c r="E1238" s="57" t="s">
        <v>60</v>
      </c>
      <c r="F1238" s="57">
        <v>0.92879999999999996</v>
      </c>
      <c r="G1238" s="57">
        <v>0.39300000000000002</v>
      </c>
      <c r="H1238" s="57" t="s">
        <v>191</v>
      </c>
      <c r="I1238" s="33">
        <f t="shared" si="4"/>
        <v>1.363358778625954</v>
      </c>
    </row>
    <row r="1239" spans="1:9" x14ac:dyDescent="0.2">
      <c r="A1239" s="70">
        <v>44650</v>
      </c>
      <c r="B1239" s="57">
        <v>2360</v>
      </c>
      <c r="C1239" s="57">
        <v>1</v>
      </c>
      <c r="D1239" s="57" t="s">
        <v>192</v>
      </c>
      <c r="E1239" s="57" t="s">
        <v>60</v>
      </c>
      <c r="F1239" s="57">
        <v>1.0327999999999999</v>
      </c>
      <c r="G1239" s="57">
        <v>0.437</v>
      </c>
      <c r="H1239" s="57" t="s">
        <v>191</v>
      </c>
      <c r="I1239" s="33">
        <f t="shared" si="4"/>
        <v>1.363386727688787</v>
      </c>
    </row>
    <row r="1240" spans="1:9" x14ac:dyDescent="0.2">
      <c r="A1240" s="70">
        <v>44665</v>
      </c>
      <c r="B1240" s="57">
        <v>2351</v>
      </c>
      <c r="C1240" s="57">
        <v>1</v>
      </c>
      <c r="D1240" s="57" t="s">
        <v>175</v>
      </c>
      <c r="E1240" s="57">
        <v>1</v>
      </c>
      <c r="F1240" s="57">
        <v>7.8100000000000003E-2</v>
      </c>
      <c r="G1240" s="57">
        <v>3.3000000000000002E-2</v>
      </c>
      <c r="H1240" s="57" t="s">
        <v>191</v>
      </c>
      <c r="I1240" s="33">
        <f t="shared" si="4"/>
        <v>1.3666666666666667</v>
      </c>
    </row>
    <row r="1241" spans="1:9" x14ac:dyDescent="0.2">
      <c r="A1241" s="70">
        <v>44690</v>
      </c>
      <c r="B1241" s="57">
        <v>2004</v>
      </c>
      <c r="C1241" s="57">
        <v>1</v>
      </c>
      <c r="D1241" s="57" t="s">
        <v>175</v>
      </c>
      <c r="E1241" s="57">
        <v>0</v>
      </c>
      <c r="F1241" s="57">
        <v>0.47039999999999998</v>
      </c>
      <c r="G1241" s="57">
        <v>0.19869999999999999</v>
      </c>
      <c r="I1241" s="33">
        <f t="shared" si="4"/>
        <v>1.3673880221439356</v>
      </c>
    </row>
    <row r="1242" spans="1:9" x14ac:dyDescent="0.2">
      <c r="A1242" s="70">
        <v>44690</v>
      </c>
      <c r="B1242" s="57">
        <v>2025</v>
      </c>
      <c r="C1242" s="57">
        <v>2</v>
      </c>
      <c r="D1242" s="57" t="s">
        <v>175</v>
      </c>
      <c r="E1242" s="57">
        <v>0</v>
      </c>
      <c r="F1242" s="57">
        <v>0.13969999999999999</v>
      </c>
      <c r="G1242" s="57">
        <v>5.8999999999999997E-2</v>
      </c>
      <c r="I1242" s="33">
        <f t="shared" si="4"/>
        <v>1.3677966101694914</v>
      </c>
    </row>
    <row r="1243" spans="1:9" x14ac:dyDescent="0.2">
      <c r="A1243" s="70">
        <v>44650</v>
      </c>
      <c r="B1243" s="57">
        <v>2347</v>
      </c>
      <c r="C1243" s="57">
        <v>2</v>
      </c>
      <c r="D1243" s="57" t="s">
        <v>175</v>
      </c>
      <c r="E1243" s="57">
        <v>1</v>
      </c>
      <c r="F1243" s="57">
        <v>6.6299999999999998E-2</v>
      </c>
      <c r="G1243" s="57">
        <v>2.8000000000000001E-2</v>
      </c>
      <c r="H1243" s="57" t="s">
        <v>191</v>
      </c>
      <c r="I1243" s="33">
        <f t="shared" si="4"/>
        <v>1.3678571428571429</v>
      </c>
    </row>
    <row r="1244" spans="1:9" x14ac:dyDescent="0.2">
      <c r="A1244" s="70">
        <v>44662</v>
      </c>
      <c r="B1244" s="57">
        <v>2085</v>
      </c>
      <c r="C1244" s="57">
        <v>1</v>
      </c>
      <c r="D1244" s="57" t="s">
        <v>175</v>
      </c>
      <c r="E1244" s="57">
        <v>0</v>
      </c>
      <c r="F1244" s="57">
        <v>0.2913</v>
      </c>
      <c r="G1244" s="57">
        <v>0.123</v>
      </c>
      <c r="H1244" s="57" t="s">
        <v>191</v>
      </c>
      <c r="I1244" s="33">
        <f t="shared" si="4"/>
        <v>1.3682926829268294</v>
      </c>
    </row>
    <row r="1245" spans="1:9" x14ac:dyDescent="0.2">
      <c r="A1245" s="70">
        <v>44685</v>
      </c>
      <c r="B1245" s="57">
        <v>2370</v>
      </c>
      <c r="C1245" s="57">
        <v>3</v>
      </c>
      <c r="D1245" s="57" t="s">
        <v>175</v>
      </c>
      <c r="E1245" s="57">
        <v>0</v>
      </c>
      <c r="F1245" s="57">
        <v>0.13100000000000001</v>
      </c>
      <c r="G1245" s="57">
        <v>5.5300000000000002E-2</v>
      </c>
      <c r="I1245" s="33">
        <f t="shared" si="4"/>
        <v>1.3688969258589512</v>
      </c>
    </row>
    <row r="1246" spans="1:9" x14ac:dyDescent="0.2">
      <c r="A1246" s="70">
        <v>44663</v>
      </c>
      <c r="B1246" s="57">
        <v>2009</v>
      </c>
      <c r="C1246" s="57">
        <v>2</v>
      </c>
      <c r="D1246" s="57" t="s">
        <v>192</v>
      </c>
      <c r="E1246" s="57">
        <v>0</v>
      </c>
      <c r="F1246" s="57">
        <v>0.60199999999999998</v>
      </c>
      <c r="G1246" s="57">
        <v>0.254</v>
      </c>
      <c r="H1246" s="57" t="s">
        <v>195</v>
      </c>
      <c r="I1246" s="33">
        <f t="shared" si="4"/>
        <v>1.3700787401574801</v>
      </c>
    </row>
    <row r="1247" spans="1:9" x14ac:dyDescent="0.2">
      <c r="A1247" s="70">
        <v>44663</v>
      </c>
      <c r="B1247" s="57">
        <v>2370</v>
      </c>
      <c r="C1247" s="57">
        <v>3</v>
      </c>
      <c r="D1247" s="57" t="s">
        <v>175</v>
      </c>
      <c r="E1247" s="57">
        <v>0</v>
      </c>
      <c r="F1247" s="57">
        <v>1.9E-2</v>
      </c>
      <c r="G1247" s="57">
        <v>8.0000000000000002E-3</v>
      </c>
      <c r="H1247" s="57" t="s">
        <v>195</v>
      </c>
      <c r="I1247" s="33">
        <f t="shared" si="4"/>
        <v>1.375</v>
      </c>
    </row>
    <row r="1248" spans="1:9" x14ac:dyDescent="0.2">
      <c r="A1248" s="70">
        <v>44662</v>
      </c>
      <c r="B1248" s="57">
        <v>2090</v>
      </c>
      <c r="C1248" s="57">
        <v>1</v>
      </c>
      <c r="D1248" s="57" t="s">
        <v>175</v>
      </c>
      <c r="E1248" s="57">
        <v>0</v>
      </c>
      <c r="F1248" s="57">
        <v>0.18559999999999999</v>
      </c>
      <c r="G1248" s="57">
        <v>7.8E-2</v>
      </c>
      <c r="H1248" s="57" t="s">
        <v>191</v>
      </c>
      <c r="I1248" s="33">
        <f t="shared" si="4"/>
        <v>1.3794871794871792</v>
      </c>
    </row>
    <row r="1249" spans="1:9" x14ac:dyDescent="0.2">
      <c r="A1249" s="70">
        <v>44690</v>
      </c>
      <c r="B1249" s="57">
        <v>2004</v>
      </c>
      <c r="C1249" s="57">
        <v>2</v>
      </c>
      <c r="D1249" s="57" t="s">
        <v>175</v>
      </c>
      <c r="E1249" s="57">
        <v>0</v>
      </c>
      <c r="F1249" s="57">
        <v>0.32800000000000001</v>
      </c>
      <c r="G1249" s="57">
        <v>0.13780000000000001</v>
      </c>
      <c r="I1249" s="33">
        <f t="shared" si="4"/>
        <v>1.3802612481857766</v>
      </c>
    </row>
    <row r="1250" spans="1:9" x14ac:dyDescent="0.2">
      <c r="A1250" s="70">
        <v>44684</v>
      </c>
      <c r="B1250" s="57">
        <v>2365</v>
      </c>
      <c r="C1250" s="57">
        <v>1</v>
      </c>
      <c r="D1250" s="57" t="s">
        <v>175</v>
      </c>
      <c r="E1250" s="57">
        <v>0</v>
      </c>
      <c r="F1250" s="57">
        <v>7.3800000000000004E-2</v>
      </c>
      <c r="G1250" s="57">
        <v>3.1E-2</v>
      </c>
      <c r="H1250" s="57" t="s">
        <v>196</v>
      </c>
      <c r="I1250" s="33">
        <f t="shared" si="4"/>
        <v>1.3806451612903228</v>
      </c>
    </row>
    <row r="1251" spans="1:9" x14ac:dyDescent="0.2">
      <c r="A1251" s="70">
        <v>44663</v>
      </c>
      <c r="B1251" s="57">
        <v>2347</v>
      </c>
      <c r="C1251" s="57">
        <v>2</v>
      </c>
      <c r="D1251" s="57" t="s">
        <v>192</v>
      </c>
      <c r="E1251" s="57">
        <v>0</v>
      </c>
      <c r="F1251" s="57">
        <v>0.7</v>
      </c>
      <c r="G1251" s="57">
        <v>0.29399999999999998</v>
      </c>
      <c r="H1251" s="57" t="s">
        <v>195</v>
      </c>
      <c r="I1251" s="33">
        <f t="shared" si="4"/>
        <v>1.3809523809523809</v>
      </c>
    </row>
    <row r="1252" spans="1:9" x14ac:dyDescent="0.2">
      <c r="A1252" s="70">
        <v>44665</v>
      </c>
      <c r="B1252" s="57">
        <v>2004</v>
      </c>
      <c r="C1252" s="57">
        <v>2</v>
      </c>
      <c r="D1252" s="57" t="s">
        <v>175</v>
      </c>
      <c r="E1252" s="57">
        <v>0</v>
      </c>
      <c r="F1252" s="57">
        <v>0.23860000000000001</v>
      </c>
      <c r="G1252" s="57">
        <v>0.1002</v>
      </c>
      <c r="H1252" s="57" t="s">
        <v>191</v>
      </c>
      <c r="I1252" s="33">
        <f t="shared" si="4"/>
        <v>1.3812375249501001</v>
      </c>
    </row>
    <row r="1253" spans="1:9" x14ac:dyDescent="0.2">
      <c r="A1253" s="70">
        <v>44650</v>
      </c>
      <c r="B1253" s="57">
        <v>2372</v>
      </c>
      <c r="C1253" s="57">
        <v>3</v>
      </c>
      <c r="D1253" s="57" t="s">
        <v>175</v>
      </c>
      <c r="E1253" s="57">
        <v>1</v>
      </c>
      <c r="F1253" s="57">
        <v>0.23860000000000001</v>
      </c>
      <c r="G1253" s="57">
        <v>0.1</v>
      </c>
      <c r="H1253" s="57" t="s">
        <v>191</v>
      </c>
      <c r="I1253" s="33">
        <f t="shared" si="4"/>
        <v>1.3859999999999999</v>
      </c>
    </row>
    <row r="1254" spans="1:9" x14ac:dyDescent="0.2">
      <c r="A1254" s="70">
        <v>44650</v>
      </c>
      <c r="B1254" s="57">
        <v>2369</v>
      </c>
      <c r="C1254" s="57">
        <v>2</v>
      </c>
      <c r="D1254" s="57" t="s">
        <v>192</v>
      </c>
      <c r="E1254" s="57" t="s">
        <v>60</v>
      </c>
      <c r="F1254" s="57">
        <v>0.48199999999999998</v>
      </c>
      <c r="G1254" s="57">
        <v>0.20200000000000001</v>
      </c>
      <c r="H1254" s="57" t="s">
        <v>191</v>
      </c>
      <c r="I1254" s="33">
        <f t="shared" si="4"/>
        <v>1.3861386138613858</v>
      </c>
    </row>
    <row r="1255" spans="1:9" x14ac:dyDescent="0.2">
      <c r="A1255" s="70">
        <v>44690</v>
      </c>
      <c r="B1255" s="57">
        <v>2004</v>
      </c>
      <c r="C1255" s="57">
        <v>3</v>
      </c>
      <c r="D1255" s="57" t="s">
        <v>175</v>
      </c>
      <c r="E1255" s="57">
        <v>0</v>
      </c>
      <c r="F1255" s="57">
        <v>0.18590000000000001</v>
      </c>
      <c r="G1255" s="57">
        <v>7.7899999999999997E-2</v>
      </c>
      <c r="I1255" s="33">
        <f t="shared" si="4"/>
        <v>1.3863928112965342</v>
      </c>
    </row>
    <row r="1256" spans="1:9" x14ac:dyDescent="0.2">
      <c r="A1256" s="70">
        <v>44663</v>
      </c>
      <c r="B1256" s="57">
        <v>2354</v>
      </c>
      <c r="C1256" s="57">
        <v>1</v>
      </c>
      <c r="D1256" s="57" t="s">
        <v>192</v>
      </c>
      <c r="E1256" s="57">
        <v>0</v>
      </c>
      <c r="F1256" s="57">
        <v>0.83</v>
      </c>
      <c r="G1256" s="57">
        <v>0.34699999999999998</v>
      </c>
      <c r="H1256" s="57" t="s">
        <v>195</v>
      </c>
      <c r="I1256" s="33">
        <f t="shared" si="4"/>
        <v>1.3919308357348703</v>
      </c>
    </row>
    <row r="1257" spans="1:9" x14ac:dyDescent="0.2">
      <c r="A1257" s="70">
        <v>44665</v>
      </c>
      <c r="B1257" s="57">
        <v>2381</v>
      </c>
      <c r="C1257" s="57">
        <v>3</v>
      </c>
      <c r="D1257" s="57" t="s">
        <v>175</v>
      </c>
      <c r="E1257" s="57">
        <v>1</v>
      </c>
      <c r="F1257" s="57">
        <v>0.2117</v>
      </c>
      <c r="G1257" s="57">
        <v>8.8499999999999995E-2</v>
      </c>
      <c r="H1257" s="57" t="s">
        <v>191</v>
      </c>
      <c r="I1257" s="33">
        <f t="shared" si="4"/>
        <v>1.3920903954802262</v>
      </c>
    </row>
    <row r="1258" spans="1:9" x14ac:dyDescent="0.2">
      <c r="A1258" s="70">
        <v>44650</v>
      </c>
      <c r="B1258" s="57">
        <v>2364</v>
      </c>
      <c r="C1258" s="57">
        <v>1</v>
      </c>
      <c r="D1258" s="57" t="s">
        <v>175</v>
      </c>
      <c r="E1258" s="57">
        <v>0</v>
      </c>
      <c r="F1258" s="57">
        <v>3.1099999999999999E-2</v>
      </c>
      <c r="G1258" s="57">
        <v>1.2999999999999999E-2</v>
      </c>
      <c r="H1258" s="57" t="s">
        <v>191</v>
      </c>
      <c r="I1258" s="33">
        <f t="shared" si="4"/>
        <v>1.3923076923076922</v>
      </c>
    </row>
    <row r="1259" spans="1:9" x14ac:dyDescent="0.2">
      <c r="A1259" s="70">
        <v>44690</v>
      </c>
      <c r="B1259" s="57">
        <v>2085</v>
      </c>
      <c r="C1259" s="57">
        <v>1</v>
      </c>
      <c r="D1259" s="57" t="s">
        <v>175</v>
      </c>
      <c r="E1259" s="57">
        <v>0</v>
      </c>
      <c r="F1259" s="57">
        <v>0.1888</v>
      </c>
      <c r="G1259" s="57">
        <v>7.8899999999999998E-2</v>
      </c>
      <c r="I1259" s="33">
        <f t="shared" si="4"/>
        <v>1.3929024081115335</v>
      </c>
    </row>
    <row r="1260" spans="1:9" x14ac:dyDescent="0.2">
      <c r="A1260" s="70">
        <v>44650</v>
      </c>
      <c r="B1260" s="57">
        <v>2364</v>
      </c>
      <c r="C1260" s="57">
        <v>3</v>
      </c>
      <c r="D1260" s="57" t="s">
        <v>175</v>
      </c>
      <c r="E1260" s="57">
        <v>1</v>
      </c>
      <c r="F1260" s="57">
        <v>0.1532</v>
      </c>
      <c r="G1260" s="57">
        <v>6.4000000000000001E-2</v>
      </c>
      <c r="H1260" s="57" t="s">
        <v>191</v>
      </c>
      <c r="I1260" s="33">
        <f t="shared" si="4"/>
        <v>1.39375</v>
      </c>
    </row>
    <row r="1261" spans="1:9" x14ac:dyDescent="0.2">
      <c r="A1261" s="70">
        <v>44650</v>
      </c>
      <c r="B1261" s="57">
        <v>2370</v>
      </c>
      <c r="C1261" s="57">
        <v>2</v>
      </c>
      <c r="D1261" s="57" t="s">
        <v>175</v>
      </c>
      <c r="E1261" s="57">
        <v>1</v>
      </c>
      <c r="F1261" s="57">
        <v>7.6600000000000001E-2</v>
      </c>
      <c r="G1261" s="57">
        <v>3.2000000000000001E-2</v>
      </c>
      <c r="H1261" s="57" t="s">
        <v>191</v>
      </c>
      <c r="I1261" s="33">
        <f t="shared" si="4"/>
        <v>1.39375</v>
      </c>
    </row>
    <row r="1262" spans="1:9" x14ac:dyDescent="0.2">
      <c r="A1262" s="70">
        <v>44663</v>
      </c>
      <c r="B1262" s="57">
        <v>2370</v>
      </c>
      <c r="C1262" s="57">
        <v>3</v>
      </c>
      <c r="D1262" s="57" t="s">
        <v>192</v>
      </c>
      <c r="E1262" s="57">
        <v>0</v>
      </c>
      <c r="F1262" s="57">
        <v>0.249</v>
      </c>
      <c r="G1262" s="57">
        <v>0.104</v>
      </c>
      <c r="H1262" s="57" t="s">
        <v>195</v>
      </c>
      <c r="I1262" s="33">
        <f t="shared" si="4"/>
        <v>1.3942307692307694</v>
      </c>
    </row>
    <row r="1263" spans="1:9" x14ac:dyDescent="0.2">
      <c r="A1263" s="70">
        <v>44690</v>
      </c>
      <c r="B1263" s="57">
        <v>2090</v>
      </c>
      <c r="C1263" s="57">
        <v>2</v>
      </c>
      <c r="D1263" s="57" t="s">
        <v>175</v>
      </c>
      <c r="E1263" s="57">
        <v>0</v>
      </c>
      <c r="F1263" s="57">
        <v>4.6699999999999998E-2</v>
      </c>
      <c r="G1263" s="57">
        <v>1.95E-2</v>
      </c>
      <c r="I1263" s="33">
        <f t="shared" si="4"/>
        <v>1.3948717948717948</v>
      </c>
    </row>
    <row r="1264" spans="1:9" x14ac:dyDescent="0.2">
      <c r="A1264" s="70">
        <v>44690</v>
      </c>
      <c r="B1264" s="57">
        <v>2012</v>
      </c>
      <c r="C1264" s="57">
        <v>2</v>
      </c>
      <c r="D1264" s="57" t="s">
        <v>175</v>
      </c>
      <c r="E1264" s="57">
        <v>0</v>
      </c>
      <c r="F1264" s="57">
        <v>0.1198</v>
      </c>
      <c r="G1264" s="57">
        <v>0.05</v>
      </c>
      <c r="I1264" s="33">
        <f t="shared" si="4"/>
        <v>1.3959999999999999</v>
      </c>
    </row>
    <row r="1265" spans="1:9" x14ac:dyDescent="0.2">
      <c r="A1265" s="70">
        <v>44690</v>
      </c>
      <c r="B1265" s="57">
        <v>2093</v>
      </c>
      <c r="C1265" s="57">
        <v>2</v>
      </c>
      <c r="D1265" s="57" t="s">
        <v>175</v>
      </c>
      <c r="E1265" s="57">
        <v>0</v>
      </c>
      <c r="F1265" s="57">
        <v>0.2001</v>
      </c>
      <c r="G1265" s="57">
        <v>8.3500000000000005E-2</v>
      </c>
      <c r="I1265" s="33">
        <f t="shared" si="4"/>
        <v>1.3964071856287423</v>
      </c>
    </row>
    <row r="1266" spans="1:9" x14ac:dyDescent="0.2">
      <c r="A1266" s="70">
        <v>44708</v>
      </c>
      <c r="B1266" s="57">
        <v>2013</v>
      </c>
      <c r="C1266" s="57">
        <v>2</v>
      </c>
      <c r="D1266" s="57" t="s">
        <v>175</v>
      </c>
      <c r="E1266" s="57">
        <v>0</v>
      </c>
      <c r="F1266" s="57">
        <v>0.24690000000000001</v>
      </c>
      <c r="G1266" s="57">
        <v>0.10299999999999999</v>
      </c>
      <c r="H1266" s="57" t="s">
        <v>193</v>
      </c>
      <c r="I1266" s="33">
        <f t="shared" si="4"/>
        <v>1.3970873786407771</v>
      </c>
    </row>
    <row r="1267" spans="1:9" x14ac:dyDescent="0.2">
      <c r="A1267" s="70">
        <v>44635</v>
      </c>
      <c r="B1267" s="57">
        <v>2020</v>
      </c>
      <c r="C1267" s="57">
        <v>1</v>
      </c>
      <c r="D1267" s="57" t="s">
        <v>192</v>
      </c>
      <c r="E1267" s="57">
        <v>0</v>
      </c>
      <c r="F1267" s="57">
        <v>1.35</v>
      </c>
      <c r="G1267" s="57">
        <v>0.56299999999999994</v>
      </c>
      <c r="H1267" s="57" t="s">
        <v>194</v>
      </c>
      <c r="I1267" s="33">
        <f t="shared" si="4"/>
        <v>1.3978685612788637</v>
      </c>
    </row>
    <row r="1268" spans="1:9" x14ac:dyDescent="0.2">
      <c r="A1268" s="70">
        <v>44662</v>
      </c>
      <c r="B1268" s="57">
        <v>2085</v>
      </c>
      <c r="C1268" s="57">
        <v>2</v>
      </c>
      <c r="D1268" s="57" t="s">
        <v>192</v>
      </c>
      <c r="E1268" s="57">
        <v>0</v>
      </c>
      <c r="F1268" s="57">
        <v>1.1492</v>
      </c>
      <c r="G1268" s="57">
        <v>0.47899999999999998</v>
      </c>
      <c r="H1268" s="57" t="s">
        <v>191</v>
      </c>
      <c r="I1268" s="33">
        <f t="shared" si="4"/>
        <v>1.3991649269311066</v>
      </c>
    </row>
    <row r="1269" spans="1:9" x14ac:dyDescent="0.2">
      <c r="A1269" s="70">
        <v>44662</v>
      </c>
      <c r="B1269" s="57">
        <v>2086</v>
      </c>
      <c r="C1269" s="57">
        <v>1</v>
      </c>
      <c r="D1269" s="57" t="s">
        <v>175</v>
      </c>
      <c r="E1269" s="57">
        <v>0</v>
      </c>
      <c r="F1269" s="57">
        <v>0.1356</v>
      </c>
      <c r="G1269" s="57">
        <v>5.6500000000000002E-2</v>
      </c>
      <c r="H1269" s="57" t="s">
        <v>191</v>
      </c>
      <c r="I1269" s="33">
        <f t="shared" si="4"/>
        <v>1.4000000000000001</v>
      </c>
    </row>
    <row r="1270" spans="1:9" x14ac:dyDescent="0.2">
      <c r="A1270" s="70">
        <v>44690</v>
      </c>
      <c r="B1270" s="57">
        <v>2007</v>
      </c>
      <c r="C1270" s="57">
        <v>1</v>
      </c>
      <c r="D1270" s="57" t="s">
        <v>175</v>
      </c>
      <c r="E1270" s="57">
        <v>0</v>
      </c>
      <c r="F1270" s="57">
        <v>9.0899999999999995E-2</v>
      </c>
      <c r="G1270" s="57">
        <v>3.78E-2</v>
      </c>
      <c r="I1270" s="33">
        <f t="shared" si="4"/>
        <v>1.4047619047619047</v>
      </c>
    </row>
    <row r="1271" spans="1:9" x14ac:dyDescent="0.2">
      <c r="A1271" s="70">
        <v>44635</v>
      </c>
      <c r="B1271" s="57">
        <v>2027</v>
      </c>
      <c r="C1271" s="57">
        <v>1</v>
      </c>
      <c r="D1271" s="57" t="s">
        <v>192</v>
      </c>
      <c r="E1271" s="57">
        <v>0</v>
      </c>
      <c r="F1271" s="57">
        <v>1.6479999999999999</v>
      </c>
      <c r="G1271" s="57">
        <v>0.68500000000000005</v>
      </c>
      <c r="H1271" s="57" t="s">
        <v>194</v>
      </c>
      <c r="I1271" s="33">
        <f t="shared" si="4"/>
        <v>1.4058394160583938</v>
      </c>
    </row>
    <row r="1272" spans="1:9" x14ac:dyDescent="0.2">
      <c r="A1272" s="70">
        <v>44665</v>
      </c>
      <c r="B1272" s="57">
        <v>2369</v>
      </c>
      <c r="C1272" s="57">
        <v>2</v>
      </c>
      <c r="D1272" s="57" t="s">
        <v>175</v>
      </c>
      <c r="E1272" s="57">
        <v>0</v>
      </c>
      <c r="F1272" s="57">
        <v>0.12520000000000001</v>
      </c>
      <c r="G1272" s="57">
        <v>5.1999999999999998E-2</v>
      </c>
      <c r="H1272" s="57" t="s">
        <v>191</v>
      </c>
      <c r="I1272" s="33">
        <f t="shared" si="4"/>
        <v>1.407692307692308</v>
      </c>
    </row>
    <row r="1273" spans="1:9" x14ac:dyDescent="0.2">
      <c r="A1273" s="70">
        <v>44690</v>
      </c>
      <c r="B1273" s="57">
        <v>2090</v>
      </c>
      <c r="C1273" s="57">
        <v>3</v>
      </c>
      <c r="D1273" s="57" t="s">
        <v>175</v>
      </c>
      <c r="E1273" s="57">
        <v>0</v>
      </c>
      <c r="F1273" s="57">
        <v>0.11269999999999999</v>
      </c>
      <c r="G1273" s="57">
        <v>4.6800000000000001E-2</v>
      </c>
      <c r="I1273" s="33">
        <f t="shared" si="4"/>
        <v>1.4081196581196578</v>
      </c>
    </row>
    <row r="1274" spans="1:9" x14ac:dyDescent="0.2">
      <c r="A1274" s="70">
        <v>44663</v>
      </c>
      <c r="B1274" s="57">
        <v>2372</v>
      </c>
      <c r="C1274" s="57">
        <v>1</v>
      </c>
      <c r="D1274" s="57" t="s">
        <v>192</v>
      </c>
      <c r="E1274" s="57">
        <v>0</v>
      </c>
      <c r="F1274" s="57">
        <v>1.5489999999999999</v>
      </c>
      <c r="G1274" s="57">
        <v>0.64200000000000002</v>
      </c>
      <c r="H1274" s="57" t="s">
        <v>195</v>
      </c>
      <c r="I1274" s="33">
        <f t="shared" si="4"/>
        <v>1.4127725856697817</v>
      </c>
    </row>
    <row r="1275" spans="1:9" x14ac:dyDescent="0.2">
      <c r="A1275" s="70">
        <v>44690</v>
      </c>
      <c r="B1275" s="57">
        <v>2090</v>
      </c>
      <c r="C1275" s="57">
        <v>1</v>
      </c>
      <c r="D1275" s="57" t="s">
        <v>175</v>
      </c>
      <c r="E1275" s="57">
        <v>0</v>
      </c>
      <c r="F1275" s="57">
        <v>8.2799999999999999E-2</v>
      </c>
      <c r="G1275" s="57">
        <v>3.4299999999999997E-2</v>
      </c>
      <c r="I1275" s="33">
        <f t="shared" si="4"/>
        <v>1.4139941690962101</v>
      </c>
    </row>
    <row r="1276" spans="1:9" x14ac:dyDescent="0.2">
      <c r="A1276" s="70">
        <v>44650</v>
      </c>
      <c r="B1276" s="57">
        <v>2370</v>
      </c>
      <c r="C1276" s="57">
        <v>3</v>
      </c>
      <c r="D1276" s="57" t="s">
        <v>175</v>
      </c>
      <c r="E1276" s="57">
        <v>1</v>
      </c>
      <c r="F1276" s="57">
        <v>0.1739</v>
      </c>
      <c r="G1276" s="57">
        <v>7.1999999999999995E-2</v>
      </c>
      <c r="H1276" s="57" t="s">
        <v>191</v>
      </c>
      <c r="I1276" s="33">
        <f t="shared" si="4"/>
        <v>1.4152777777777779</v>
      </c>
    </row>
    <row r="1277" spans="1:9" x14ac:dyDescent="0.2">
      <c r="A1277" s="70">
        <v>44663</v>
      </c>
      <c r="B1277" s="57">
        <v>2346</v>
      </c>
      <c r="C1277" s="57">
        <v>1</v>
      </c>
      <c r="D1277" s="57" t="s">
        <v>175</v>
      </c>
      <c r="E1277" s="57">
        <v>1</v>
      </c>
      <c r="F1277" s="57">
        <v>0.26600000000000001</v>
      </c>
      <c r="G1277" s="57">
        <v>0.11</v>
      </c>
      <c r="H1277" s="57" t="s">
        <v>195</v>
      </c>
      <c r="I1277" s="33">
        <f t="shared" ref="I1277:I1486" si="5">((F1277-G1277)/G1277)</f>
        <v>1.4181818181818184</v>
      </c>
    </row>
    <row r="1278" spans="1:9" x14ac:dyDescent="0.2">
      <c r="A1278" s="70">
        <v>44665</v>
      </c>
      <c r="B1278" s="57">
        <v>2020</v>
      </c>
      <c r="C1278" s="57">
        <v>1</v>
      </c>
      <c r="D1278" s="57" t="s">
        <v>175</v>
      </c>
      <c r="E1278" s="57">
        <v>0</v>
      </c>
      <c r="F1278" s="57">
        <v>4.99E-2</v>
      </c>
      <c r="G1278" s="57">
        <v>2.06E-2</v>
      </c>
      <c r="H1278" s="57" t="s">
        <v>191</v>
      </c>
      <c r="I1278" s="33">
        <f t="shared" si="5"/>
        <v>1.4223300970873787</v>
      </c>
    </row>
    <row r="1279" spans="1:9" x14ac:dyDescent="0.2">
      <c r="A1279" s="70">
        <v>44690</v>
      </c>
      <c r="B1279" s="57">
        <v>2013</v>
      </c>
      <c r="C1279" s="57">
        <v>2</v>
      </c>
      <c r="D1279" s="57" t="s">
        <v>175</v>
      </c>
      <c r="E1279" s="57">
        <v>0</v>
      </c>
      <c r="F1279" s="57">
        <v>0.18410000000000001</v>
      </c>
      <c r="G1279" s="57">
        <v>7.5999999999999998E-2</v>
      </c>
      <c r="I1279" s="33">
        <f t="shared" si="5"/>
        <v>1.4223684210526317</v>
      </c>
    </row>
    <row r="1280" spans="1:9" x14ac:dyDescent="0.2">
      <c r="A1280" s="70">
        <v>44662</v>
      </c>
      <c r="B1280" s="57">
        <v>2089</v>
      </c>
      <c r="C1280" s="57">
        <v>1</v>
      </c>
      <c r="D1280" s="57" t="s">
        <v>192</v>
      </c>
      <c r="E1280" s="57">
        <v>0</v>
      </c>
      <c r="F1280" s="57">
        <v>1.2576000000000001</v>
      </c>
      <c r="G1280" s="57">
        <v>0.51900000000000002</v>
      </c>
      <c r="H1280" s="57" t="s">
        <v>191</v>
      </c>
      <c r="I1280" s="33">
        <f t="shared" si="5"/>
        <v>1.4231213872832371</v>
      </c>
    </row>
    <row r="1281" spans="1:9" x14ac:dyDescent="0.2">
      <c r="A1281" s="70">
        <v>44690</v>
      </c>
      <c r="B1281" s="57">
        <v>2006</v>
      </c>
      <c r="C1281" s="57">
        <v>1</v>
      </c>
      <c r="D1281" s="57" t="s">
        <v>175</v>
      </c>
      <c r="E1281" s="57">
        <v>0</v>
      </c>
      <c r="F1281" s="57">
        <v>7.9500000000000001E-2</v>
      </c>
      <c r="G1281" s="57">
        <v>3.2800000000000003E-2</v>
      </c>
      <c r="I1281" s="33">
        <f t="shared" si="5"/>
        <v>1.4237804878048779</v>
      </c>
    </row>
    <row r="1282" spans="1:9" x14ac:dyDescent="0.2">
      <c r="A1282" s="70">
        <v>44690</v>
      </c>
      <c r="B1282" s="57">
        <v>2015</v>
      </c>
      <c r="C1282" s="57">
        <v>2</v>
      </c>
      <c r="D1282" s="57" t="s">
        <v>175</v>
      </c>
      <c r="E1282" s="57">
        <v>0</v>
      </c>
      <c r="F1282" s="57">
        <v>0.31657999999999997</v>
      </c>
      <c r="G1282" s="57">
        <v>0.13059999999999999</v>
      </c>
      <c r="I1282" s="33">
        <f t="shared" si="5"/>
        <v>1.424042879019908</v>
      </c>
    </row>
    <row r="1283" spans="1:9" x14ac:dyDescent="0.2">
      <c r="A1283" s="70">
        <v>44665</v>
      </c>
      <c r="B1283" s="57">
        <v>2382</v>
      </c>
      <c r="C1283" s="57">
        <v>1</v>
      </c>
      <c r="D1283" s="57" t="s">
        <v>175</v>
      </c>
      <c r="E1283" s="57">
        <v>0</v>
      </c>
      <c r="F1283" s="57">
        <v>4.4200000000000003E-2</v>
      </c>
      <c r="G1283" s="57">
        <v>1.8200000000000001E-2</v>
      </c>
      <c r="H1283" s="57" t="s">
        <v>191</v>
      </c>
      <c r="I1283" s="33">
        <f t="shared" si="5"/>
        <v>1.4285714285714286</v>
      </c>
    </row>
    <row r="1284" spans="1:9" x14ac:dyDescent="0.2">
      <c r="A1284" s="70">
        <v>44706</v>
      </c>
      <c r="B1284" s="57">
        <v>2346</v>
      </c>
      <c r="C1284" s="57">
        <v>3</v>
      </c>
      <c r="D1284" s="57" t="s">
        <v>175</v>
      </c>
      <c r="E1284" s="57">
        <v>0</v>
      </c>
      <c r="F1284" s="57">
        <v>6.8000000000000005E-2</v>
      </c>
      <c r="G1284" s="57">
        <v>2.8000000000000001E-2</v>
      </c>
      <c r="H1284" s="57" t="s">
        <v>193</v>
      </c>
      <c r="I1284" s="33">
        <f t="shared" si="5"/>
        <v>1.4285714285714288</v>
      </c>
    </row>
    <row r="1285" spans="1:9" x14ac:dyDescent="0.2">
      <c r="A1285" s="70">
        <v>44650</v>
      </c>
      <c r="B1285" s="57">
        <v>2347</v>
      </c>
      <c r="C1285" s="57">
        <v>1</v>
      </c>
      <c r="D1285" s="57" t="s">
        <v>175</v>
      </c>
      <c r="E1285" s="57">
        <v>1</v>
      </c>
      <c r="F1285" s="57">
        <v>0.1628</v>
      </c>
      <c r="G1285" s="57">
        <v>6.7000000000000004E-2</v>
      </c>
      <c r="H1285" s="57" t="s">
        <v>191</v>
      </c>
      <c r="I1285" s="33">
        <f t="shared" si="5"/>
        <v>1.4298507462686565</v>
      </c>
    </row>
    <row r="1286" spans="1:9" x14ac:dyDescent="0.2">
      <c r="A1286" s="70">
        <v>44665</v>
      </c>
      <c r="B1286" s="57">
        <v>2021</v>
      </c>
      <c r="C1286" s="57">
        <v>1</v>
      </c>
      <c r="D1286" s="57" t="s">
        <v>175</v>
      </c>
      <c r="E1286" s="57">
        <v>0</v>
      </c>
      <c r="F1286" s="57">
        <v>0.1095</v>
      </c>
      <c r="G1286" s="57">
        <v>4.4999999999999998E-2</v>
      </c>
      <c r="H1286" s="57" t="s">
        <v>191</v>
      </c>
      <c r="I1286" s="33">
        <f t="shared" si="5"/>
        <v>1.4333333333333333</v>
      </c>
    </row>
    <row r="1287" spans="1:9" x14ac:dyDescent="0.2">
      <c r="A1287" s="70">
        <v>44663</v>
      </c>
      <c r="B1287" s="57">
        <v>2372</v>
      </c>
      <c r="C1287" s="57">
        <v>2</v>
      </c>
      <c r="D1287" s="57" t="s">
        <v>192</v>
      </c>
      <c r="E1287" s="57">
        <v>0</v>
      </c>
      <c r="F1287" s="57">
        <v>1.03</v>
      </c>
      <c r="G1287" s="57">
        <v>0.42299999999999999</v>
      </c>
      <c r="H1287" s="57" t="s">
        <v>195</v>
      </c>
      <c r="I1287" s="33">
        <f t="shared" si="5"/>
        <v>1.4349881796690307</v>
      </c>
    </row>
    <row r="1288" spans="1:9" x14ac:dyDescent="0.2">
      <c r="A1288" s="70">
        <v>44690</v>
      </c>
      <c r="B1288" s="57">
        <v>2093</v>
      </c>
      <c r="C1288" s="57">
        <v>1</v>
      </c>
      <c r="D1288" s="57" t="s">
        <v>175</v>
      </c>
      <c r="E1288" s="57">
        <v>0</v>
      </c>
      <c r="F1288" s="57">
        <v>0.17580000000000001</v>
      </c>
      <c r="G1288" s="57">
        <v>7.1999999999999995E-2</v>
      </c>
      <c r="I1288" s="33">
        <f t="shared" si="5"/>
        <v>1.4416666666666671</v>
      </c>
    </row>
    <row r="1289" spans="1:9" x14ac:dyDescent="0.2">
      <c r="A1289" s="70">
        <v>44650</v>
      </c>
      <c r="B1289" s="57">
        <v>2347</v>
      </c>
      <c r="C1289" s="57">
        <v>3</v>
      </c>
      <c r="D1289" s="57" t="s">
        <v>175</v>
      </c>
      <c r="E1289" s="57">
        <v>1</v>
      </c>
      <c r="F1289" s="57">
        <v>0.23200000000000001</v>
      </c>
      <c r="G1289" s="57">
        <v>9.5000000000000001E-2</v>
      </c>
      <c r="H1289" s="57" t="s">
        <v>191</v>
      </c>
      <c r="I1289" s="33">
        <f t="shared" si="5"/>
        <v>1.4421052631578948</v>
      </c>
    </row>
    <row r="1290" spans="1:9" x14ac:dyDescent="0.2">
      <c r="A1290" s="70">
        <v>44665</v>
      </c>
      <c r="B1290" s="57">
        <v>2367</v>
      </c>
      <c r="C1290" s="57">
        <v>2</v>
      </c>
      <c r="D1290" s="57" t="s">
        <v>175</v>
      </c>
      <c r="E1290" s="57">
        <v>0</v>
      </c>
      <c r="F1290" s="57">
        <v>5.4699999999999999E-2</v>
      </c>
      <c r="G1290" s="57">
        <v>2.23E-2</v>
      </c>
      <c r="H1290" s="57" t="s">
        <v>191</v>
      </c>
      <c r="I1290" s="33">
        <f t="shared" si="5"/>
        <v>1.452914798206278</v>
      </c>
    </row>
    <row r="1291" spans="1:9" x14ac:dyDescent="0.2">
      <c r="A1291" s="70">
        <v>44690</v>
      </c>
      <c r="B1291" s="57">
        <v>2093</v>
      </c>
      <c r="C1291" s="57">
        <v>3</v>
      </c>
      <c r="D1291" s="57" t="s">
        <v>175</v>
      </c>
      <c r="E1291" s="57">
        <v>0</v>
      </c>
      <c r="F1291" s="57">
        <v>0.1678</v>
      </c>
      <c r="G1291" s="57">
        <v>6.8400000000000002E-2</v>
      </c>
      <c r="I1291" s="33">
        <f t="shared" si="5"/>
        <v>1.4532163742690059</v>
      </c>
    </row>
    <row r="1292" spans="1:9" x14ac:dyDescent="0.2">
      <c r="A1292" s="70">
        <v>44662</v>
      </c>
      <c r="B1292" s="57">
        <v>2085</v>
      </c>
      <c r="C1292" s="57">
        <v>2</v>
      </c>
      <c r="D1292" s="57" t="s">
        <v>175</v>
      </c>
      <c r="E1292" s="57">
        <v>0</v>
      </c>
      <c r="F1292" s="57">
        <v>0.32590000000000002</v>
      </c>
      <c r="G1292" s="57">
        <v>0.1328</v>
      </c>
      <c r="H1292" s="57" t="s">
        <v>191</v>
      </c>
      <c r="I1292" s="33">
        <f t="shared" si="5"/>
        <v>1.4540662650602412</v>
      </c>
    </row>
    <row r="1293" spans="1:9" x14ac:dyDescent="0.2">
      <c r="A1293" s="70">
        <v>44663</v>
      </c>
      <c r="B1293" s="57">
        <v>2370</v>
      </c>
      <c r="C1293" s="57">
        <v>1</v>
      </c>
      <c r="D1293" s="57" t="s">
        <v>192</v>
      </c>
      <c r="E1293" s="57">
        <v>0</v>
      </c>
      <c r="F1293" s="57">
        <v>0.76400000000000001</v>
      </c>
      <c r="G1293" s="57">
        <v>0.311</v>
      </c>
      <c r="H1293" s="57" t="s">
        <v>195</v>
      </c>
      <c r="I1293" s="33">
        <f t="shared" si="5"/>
        <v>1.4565916398713827</v>
      </c>
    </row>
    <row r="1294" spans="1:9" x14ac:dyDescent="0.2">
      <c r="A1294" s="70">
        <v>44690</v>
      </c>
      <c r="B1294" s="57">
        <v>2013</v>
      </c>
      <c r="C1294" s="57">
        <v>3</v>
      </c>
      <c r="D1294" s="57" t="s">
        <v>175</v>
      </c>
      <c r="E1294" s="57">
        <v>0</v>
      </c>
      <c r="F1294" s="57">
        <v>0.24129999999999999</v>
      </c>
      <c r="G1294" s="57">
        <v>9.8000000000000004E-2</v>
      </c>
      <c r="I1294" s="33">
        <f t="shared" si="5"/>
        <v>1.4622448979591836</v>
      </c>
    </row>
    <row r="1295" spans="1:9" x14ac:dyDescent="0.2">
      <c r="A1295" s="70">
        <v>44665</v>
      </c>
      <c r="B1295" s="57">
        <v>2381</v>
      </c>
      <c r="C1295" s="57">
        <v>1</v>
      </c>
      <c r="D1295" s="57" t="s">
        <v>175</v>
      </c>
      <c r="E1295" s="57">
        <v>0</v>
      </c>
      <c r="F1295" s="57">
        <v>0.12520000000000001</v>
      </c>
      <c r="G1295" s="57">
        <v>5.0799999999999998E-2</v>
      </c>
      <c r="H1295" s="57" t="s">
        <v>191</v>
      </c>
      <c r="I1295" s="33">
        <f t="shared" si="5"/>
        <v>1.4645669291338586</v>
      </c>
    </row>
    <row r="1296" spans="1:9" x14ac:dyDescent="0.2">
      <c r="A1296" s="70">
        <v>44663</v>
      </c>
      <c r="B1296" s="57">
        <v>2348</v>
      </c>
      <c r="C1296" s="57">
        <v>1</v>
      </c>
      <c r="D1296" s="57" t="s">
        <v>192</v>
      </c>
      <c r="E1296" s="57">
        <v>0</v>
      </c>
      <c r="F1296" s="57">
        <v>0.91500000000000004</v>
      </c>
      <c r="G1296" s="57">
        <v>0.371</v>
      </c>
      <c r="H1296" s="57" t="s">
        <v>195</v>
      </c>
      <c r="I1296" s="33">
        <f t="shared" si="5"/>
        <v>1.4663072776280324</v>
      </c>
    </row>
    <row r="1297" spans="1:9" x14ac:dyDescent="0.2">
      <c r="A1297" s="70">
        <v>44690</v>
      </c>
      <c r="B1297" s="57">
        <v>2012</v>
      </c>
      <c r="C1297" s="57">
        <v>3</v>
      </c>
      <c r="D1297" s="57" t="s">
        <v>175</v>
      </c>
      <c r="E1297" s="57">
        <v>0</v>
      </c>
      <c r="F1297" s="57">
        <v>6.7100000000000007E-2</v>
      </c>
      <c r="G1297" s="57">
        <v>2.7199999999999998E-2</v>
      </c>
      <c r="I1297" s="33">
        <f t="shared" si="5"/>
        <v>1.4669117647058827</v>
      </c>
    </row>
    <row r="1298" spans="1:9" x14ac:dyDescent="0.2">
      <c r="A1298" s="70">
        <v>44685</v>
      </c>
      <c r="B1298" s="57">
        <v>2331</v>
      </c>
      <c r="C1298" s="57">
        <v>2</v>
      </c>
      <c r="D1298" s="57" t="s">
        <v>175</v>
      </c>
      <c r="E1298" s="57">
        <v>0</v>
      </c>
      <c r="F1298" s="57">
        <v>4.99E-2</v>
      </c>
      <c r="G1298" s="57">
        <v>2.0199999999999999E-2</v>
      </c>
      <c r="I1298" s="33">
        <f t="shared" si="5"/>
        <v>1.4702970297029705</v>
      </c>
    </row>
    <row r="1299" spans="1:9" x14ac:dyDescent="0.2">
      <c r="A1299" s="70">
        <v>44665</v>
      </c>
      <c r="B1299" s="57">
        <v>2381</v>
      </c>
      <c r="C1299" s="57">
        <v>2</v>
      </c>
      <c r="D1299" s="57" t="s">
        <v>175</v>
      </c>
      <c r="E1299" s="57">
        <v>0</v>
      </c>
      <c r="F1299" s="57">
        <v>0.17449999999999999</v>
      </c>
      <c r="G1299" s="57">
        <v>7.0599999999999996E-2</v>
      </c>
      <c r="H1299" s="57" t="s">
        <v>191</v>
      </c>
      <c r="I1299" s="33">
        <f t="shared" si="5"/>
        <v>1.4716713881019829</v>
      </c>
    </row>
    <row r="1300" spans="1:9" x14ac:dyDescent="0.2">
      <c r="A1300" s="70">
        <v>44650</v>
      </c>
      <c r="B1300" s="57">
        <v>2360</v>
      </c>
      <c r="C1300" s="57">
        <v>3</v>
      </c>
      <c r="D1300" s="57" t="s">
        <v>175</v>
      </c>
      <c r="E1300" s="57">
        <v>0</v>
      </c>
      <c r="F1300" s="57">
        <v>0.18540000000000001</v>
      </c>
      <c r="G1300" s="57">
        <v>7.4999999999999997E-2</v>
      </c>
      <c r="H1300" s="57" t="s">
        <v>191</v>
      </c>
      <c r="I1300" s="33">
        <f t="shared" si="5"/>
        <v>1.4720000000000002</v>
      </c>
    </row>
    <row r="1301" spans="1:9" x14ac:dyDescent="0.2">
      <c r="A1301" s="70">
        <v>44690</v>
      </c>
      <c r="B1301" s="57">
        <v>2087</v>
      </c>
      <c r="C1301" s="57">
        <v>1</v>
      </c>
      <c r="D1301" s="57" t="s">
        <v>175</v>
      </c>
      <c r="E1301" s="57">
        <v>0</v>
      </c>
      <c r="F1301" s="57">
        <v>0.2863</v>
      </c>
      <c r="G1301" s="57">
        <v>0.11559999999999999</v>
      </c>
      <c r="I1301" s="33">
        <f t="shared" si="5"/>
        <v>1.4766435986159172</v>
      </c>
    </row>
    <row r="1302" spans="1:9" x14ac:dyDescent="0.2">
      <c r="A1302" s="70">
        <v>44663</v>
      </c>
      <c r="B1302" s="57">
        <v>2371</v>
      </c>
      <c r="C1302" s="57">
        <v>1</v>
      </c>
      <c r="D1302" s="57" t="s">
        <v>192</v>
      </c>
      <c r="E1302" s="57">
        <v>0</v>
      </c>
      <c r="F1302" s="57">
        <v>1.5620000000000001</v>
      </c>
      <c r="G1302" s="57">
        <v>0.63</v>
      </c>
      <c r="H1302" s="57" t="s">
        <v>195</v>
      </c>
      <c r="I1302" s="33">
        <f t="shared" si="5"/>
        <v>1.4793650793650794</v>
      </c>
    </row>
    <row r="1303" spans="1:9" x14ac:dyDescent="0.2">
      <c r="A1303" s="70">
        <v>44690</v>
      </c>
      <c r="B1303" s="57">
        <v>2086</v>
      </c>
      <c r="C1303" s="57">
        <v>1</v>
      </c>
      <c r="D1303" s="57" t="s">
        <v>175</v>
      </c>
      <c r="E1303" s="57">
        <v>0</v>
      </c>
      <c r="F1303" s="57">
        <v>0.436</v>
      </c>
      <c r="G1303" s="57">
        <v>0.1757</v>
      </c>
      <c r="I1303" s="33">
        <f t="shared" si="5"/>
        <v>1.4815025611838359</v>
      </c>
    </row>
    <row r="1304" spans="1:9" x14ac:dyDescent="0.2">
      <c r="A1304" s="70">
        <v>44665</v>
      </c>
      <c r="B1304" s="57">
        <v>2020</v>
      </c>
      <c r="C1304" s="57">
        <v>2</v>
      </c>
      <c r="D1304" s="57" t="s">
        <v>175</v>
      </c>
      <c r="E1304" s="57">
        <v>0</v>
      </c>
      <c r="F1304" s="57">
        <v>7.5200000000000003E-2</v>
      </c>
      <c r="G1304" s="57">
        <v>3.0300000000000001E-2</v>
      </c>
      <c r="H1304" s="57" t="s">
        <v>191</v>
      </c>
      <c r="I1304" s="33">
        <f t="shared" si="5"/>
        <v>1.4818481848184819</v>
      </c>
    </row>
    <row r="1305" spans="1:9" x14ac:dyDescent="0.2">
      <c r="A1305" s="70">
        <v>44650</v>
      </c>
      <c r="B1305" s="57">
        <v>2370</v>
      </c>
      <c r="C1305" s="57">
        <v>1</v>
      </c>
      <c r="D1305" s="57" t="s">
        <v>175</v>
      </c>
      <c r="E1305" s="57">
        <v>1</v>
      </c>
      <c r="F1305" s="57">
        <v>0.1045</v>
      </c>
      <c r="G1305" s="57">
        <v>4.2000000000000003E-2</v>
      </c>
      <c r="H1305" s="57" t="s">
        <v>191</v>
      </c>
      <c r="I1305" s="33">
        <f t="shared" si="5"/>
        <v>1.4880952380952379</v>
      </c>
    </row>
    <row r="1306" spans="1:9" x14ac:dyDescent="0.2">
      <c r="A1306" s="70">
        <v>44690</v>
      </c>
      <c r="B1306" s="57">
        <v>2086</v>
      </c>
      <c r="C1306" s="57">
        <v>2</v>
      </c>
      <c r="D1306" s="57" t="s">
        <v>175</v>
      </c>
      <c r="E1306" s="57">
        <v>0</v>
      </c>
      <c r="F1306" s="57">
        <v>0.57709999999999995</v>
      </c>
      <c r="G1306" s="57">
        <v>0.2319</v>
      </c>
      <c r="I1306" s="33">
        <f t="shared" si="5"/>
        <v>1.4885726606295815</v>
      </c>
    </row>
    <row r="1307" spans="1:9" x14ac:dyDescent="0.2">
      <c r="A1307" s="70">
        <v>44665</v>
      </c>
      <c r="B1307" s="57">
        <v>2384</v>
      </c>
      <c r="C1307" s="57">
        <v>2</v>
      </c>
      <c r="D1307" s="57" t="s">
        <v>175</v>
      </c>
      <c r="E1307" s="57">
        <v>0</v>
      </c>
      <c r="F1307" s="57">
        <v>0.13339999999999999</v>
      </c>
      <c r="G1307" s="57">
        <v>5.3600000000000002E-2</v>
      </c>
      <c r="H1307" s="57" t="s">
        <v>191</v>
      </c>
      <c r="I1307" s="33">
        <f t="shared" si="5"/>
        <v>1.4888059701492533</v>
      </c>
    </row>
    <row r="1308" spans="1:9" x14ac:dyDescent="0.2">
      <c r="A1308" s="70">
        <v>44650</v>
      </c>
      <c r="B1308" s="57">
        <v>2378</v>
      </c>
      <c r="C1308" s="57">
        <v>1</v>
      </c>
      <c r="D1308" s="57" t="s">
        <v>175</v>
      </c>
      <c r="E1308" s="57">
        <v>0</v>
      </c>
      <c r="F1308" s="57">
        <v>0.157</v>
      </c>
      <c r="G1308" s="57">
        <v>6.3E-2</v>
      </c>
      <c r="H1308" s="57" t="s">
        <v>191</v>
      </c>
      <c r="I1308" s="33">
        <f t="shared" si="5"/>
        <v>1.4920634920634921</v>
      </c>
    </row>
    <row r="1309" spans="1:9" x14ac:dyDescent="0.2">
      <c r="A1309" s="70">
        <v>44663</v>
      </c>
      <c r="B1309" s="57">
        <v>2349</v>
      </c>
      <c r="C1309" s="57">
        <v>3</v>
      </c>
      <c r="D1309" s="57" t="s">
        <v>175</v>
      </c>
      <c r="E1309" s="57">
        <v>0</v>
      </c>
      <c r="F1309" s="57">
        <v>0.02</v>
      </c>
      <c r="G1309" s="57">
        <v>8.0000000000000002E-3</v>
      </c>
      <c r="H1309" s="57" t="s">
        <v>195</v>
      </c>
      <c r="I1309" s="33">
        <f t="shared" si="5"/>
        <v>1.5</v>
      </c>
    </row>
    <row r="1310" spans="1:9" x14ac:dyDescent="0.2">
      <c r="A1310" s="70">
        <v>44650</v>
      </c>
      <c r="B1310" s="57">
        <v>2343</v>
      </c>
      <c r="C1310" s="57">
        <v>1</v>
      </c>
      <c r="D1310" s="57" t="s">
        <v>192</v>
      </c>
      <c r="E1310" s="57" t="s">
        <v>60</v>
      </c>
      <c r="F1310" s="57">
        <v>0.7177</v>
      </c>
      <c r="G1310" s="57">
        <v>0.28699999999999998</v>
      </c>
      <c r="H1310" s="57" t="s">
        <v>191</v>
      </c>
      <c r="I1310" s="33">
        <f t="shared" si="5"/>
        <v>1.5006968641114984</v>
      </c>
    </row>
    <row r="1311" spans="1:9" x14ac:dyDescent="0.2">
      <c r="A1311" s="70">
        <v>44690</v>
      </c>
      <c r="B1311" s="57">
        <v>2091</v>
      </c>
      <c r="C1311" s="57">
        <v>3</v>
      </c>
      <c r="D1311" s="57" t="s">
        <v>175</v>
      </c>
      <c r="E1311" s="57">
        <v>0</v>
      </c>
      <c r="F1311" s="57">
        <v>0.17799999999999999</v>
      </c>
      <c r="G1311" s="57">
        <v>7.0999999999999994E-2</v>
      </c>
      <c r="I1311" s="33">
        <f t="shared" si="5"/>
        <v>1.507042253521127</v>
      </c>
    </row>
    <row r="1312" spans="1:9" x14ac:dyDescent="0.2">
      <c r="A1312" s="70">
        <v>44663</v>
      </c>
      <c r="B1312" s="57">
        <v>2343</v>
      </c>
      <c r="C1312" s="57">
        <v>3</v>
      </c>
      <c r="D1312" s="57" t="s">
        <v>175</v>
      </c>
      <c r="E1312" s="57">
        <v>0</v>
      </c>
      <c r="F1312" s="57">
        <v>0.14799999999999999</v>
      </c>
      <c r="G1312" s="57">
        <v>5.8999999999999997E-2</v>
      </c>
      <c r="H1312" s="57" t="s">
        <v>195</v>
      </c>
      <c r="I1312" s="33">
        <f t="shared" si="5"/>
        <v>1.5084745762711864</v>
      </c>
    </row>
    <row r="1313" spans="1:9" x14ac:dyDescent="0.2">
      <c r="A1313" s="70">
        <v>44663</v>
      </c>
      <c r="B1313" s="57">
        <v>2348</v>
      </c>
      <c r="C1313" s="57">
        <v>3</v>
      </c>
      <c r="D1313" s="57" t="s">
        <v>192</v>
      </c>
      <c r="E1313" s="57">
        <v>0</v>
      </c>
      <c r="F1313" s="57">
        <v>0.53700000000000003</v>
      </c>
      <c r="G1313" s="57">
        <v>0.214</v>
      </c>
      <c r="H1313" s="57" t="s">
        <v>195</v>
      </c>
      <c r="I1313" s="33">
        <f t="shared" si="5"/>
        <v>1.5093457943925237</v>
      </c>
    </row>
    <row r="1314" spans="1:9" x14ac:dyDescent="0.2">
      <c r="A1314" s="70">
        <v>44663</v>
      </c>
      <c r="B1314" s="57">
        <v>2371</v>
      </c>
      <c r="C1314" s="57">
        <v>2</v>
      </c>
      <c r="D1314" s="57" t="s">
        <v>192</v>
      </c>
      <c r="E1314" s="57">
        <v>0</v>
      </c>
      <c r="F1314" s="57">
        <v>0.68799999999999994</v>
      </c>
      <c r="G1314" s="57">
        <v>0.27400000000000002</v>
      </c>
      <c r="H1314" s="57" t="s">
        <v>195</v>
      </c>
      <c r="I1314" s="33">
        <f t="shared" si="5"/>
        <v>1.5109489051094886</v>
      </c>
    </row>
    <row r="1315" spans="1:9" x14ac:dyDescent="0.2">
      <c r="A1315" s="70">
        <v>44665</v>
      </c>
      <c r="B1315" s="57">
        <v>2379</v>
      </c>
      <c r="C1315" s="57">
        <v>2</v>
      </c>
      <c r="D1315" s="57" t="s">
        <v>175</v>
      </c>
      <c r="E1315" s="57">
        <v>0</v>
      </c>
      <c r="F1315" s="57">
        <v>7.7600000000000002E-2</v>
      </c>
      <c r="G1315" s="57">
        <v>3.09E-2</v>
      </c>
      <c r="H1315" s="57" t="s">
        <v>191</v>
      </c>
      <c r="I1315" s="33">
        <f t="shared" si="5"/>
        <v>1.5113268608414241</v>
      </c>
    </row>
    <row r="1316" spans="1:9" x14ac:dyDescent="0.2">
      <c r="A1316" s="70">
        <v>44650</v>
      </c>
      <c r="B1316" s="57">
        <v>2369</v>
      </c>
      <c r="C1316" s="57">
        <v>1</v>
      </c>
      <c r="D1316" s="57" t="s">
        <v>192</v>
      </c>
      <c r="E1316" s="57" t="s">
        <v>60</v>
      </c>
      <c r="F1316" s="57">
        <v>0.97</v>
      </c>
      <c r="G1316" s="57">
        <v>0.38600000000000001</v>
      </c>
      <c r="H1316" s="57" t="s">
        <v>191</v>
      </c>
      <c r="I1316" s="33">
        <f t="shared" si="5"/>
        <v>1.5129533678756475</v>
      </c>
    </row>
    <row r="1317" spans="1:9" x14ac:dyDescent="0.2">
      <c r="A1317" s="70">
        <v>44663</v>
      </c>
      <c r="B1317" s="57">
        <v>2009</v>
      </c>
      <c r="C1317" s="57">
        <v>1</v>
      </c>
      <c r="D1317" s="57" t="s">
        <v>175</v>
      </c>
      <c r="E1317" s="57">
        <v>0</v>
      </c>
      <c r="F1317" s="57">
        <v>0.25900000000000001</v>
      </c>
      <c r="G1317" s="57">
        <v>0.10299999999999999</v>
      </c>
      <c r="H1317" s="57" t="s">
        <v>195</v>
      </c>
      <c r="I1317" s="33">
        <f t="shared" si="5"/>
        <v>1.5145631067961169</v>
      </c>
    </row>
    <row r="1318" spans="1:9" x14ac:dyDescent="0.2">
      <c r="A1318" s="70">
        <v>44665</v>
      </c>
      <c r="B1318" s="57">
        <v>2011</v>
      </c>
      <c r="C1318" s="57">
        <v>1</v>
      </c>
      <c r="D1318" s="57" t="s">
        <v>175</v>
      </c>
      <c r="E1318" s="57">
        <v>0</v>
      </c>
      <c r="F1318" s="57">
        <v>0.12</v>
      </c>
      <c r="G1318" s="57">
        <v>4.7699999999999999E-2</v>
      </c>
      <c r="H1318" s="57" t="s">
        <v>191</v>
      </c>
      <c r="I1318" s="33">
        <f t="shared" si="5"/>
        <v>1.5157232704402517</v>
      </c>
    </row>
    <row r="1319" spans="1:9" x14ac:dyDescent="0.2">
      <c r="A1319" s="70">
        <v>44690</v>
      </c>
      <c r="B1319" s="57">
        <v>2023</v>
      </c>
      <c r="C1319" s="57">
        <v>1</v>
      </c>
      <c r="D1319" s="57" t="s">
        <v>175</v>
      </c>
      <c r="E1319" s="57">
        <v>0</v>
      </c>
      <c r="F1319" s="57">
        <v>7.8200000000000006E-2</v>
      </c>
      <c r="G1319" s="57">
        <v>3.1E-2</v>
      </c>
      <c r="I1319" s="33">
        <f t="shared" si="5"/>
        <v>1.5225806451612904</v>
      </c>
    </row>
    <row r="1320" spans="1:9" x14ac:dyDescent="0.2">
      <c r="A1320" s="70">
        <v>44662</v>
      </c>
      <c r="B1320" s="57">
        <v>2088</v>
      </c>
      <c r="C1320" s="57">
        <v>1</v>
      </c>
      <c r="D1320" s="57" t="s">
        <v>175</v>
      </c>
      <c r="E1320" s="57">
        <v>0</v>
      </c>
      <c r="F1320" s="57">
        <v>0.123</v>
      </c>
      <c r="G1320" s="57">
        <v>4.87E-2</v>
      </c>
      <c r="H1320" s="57" t="s">
        <v>191</v>
      </c>
      <c r="I1320" s="33">
        <f t="shared" si="5"/>
        <v>1.5256673511293635</v>
      </c>
    </row>
    <row r="1321" spans="1:9" x14ac:dyDescent="0.2">
      <c r="A1321" s="70">
        <v>44690</v>
      </c>
      <c r="B1321" s="57">
        <v>2089</v>
      </c>
      <c r="C1321" s="57">
        <v>1</v>
      </c>
      <c r="D1321" s="57" t="s">
        <v>175</v>
      </c>
      <c r="E1321" s="57">
        <v>0</v>
      </c>
      <c r="F1321" s="57">
        <v>8.4400000000000003E-2</v>
      </c>
      <c r="G1321" s="57">
        <v>3.3399999999999999E-2</v>
      </c>
      <c r="I1321" s="33">
        <f t="shared" si="5"/>
        <v>1.5269461077844313</v>
      </c>
    </row>
    <row r="1322" spans="1:9" x14ac:dyDescent="0.2">
      <c r="A1322" s="70">
        <v>44663</v>
      </c>
      <c r="B1322" s="57">
        <v>2370</v>
      </c>
      <c r="C1322" s="57">
        <v>2</v>
      </c>
      <c r="D1322" s="57" t="s">
        <v>192</v>
      </c>
      <c r="E1322" s="57">
        <v>0</v>
      </c>
      <c r="F1322" s="57">
        <v>0.30099999999999999</v>
      </c>
      <c r="G1322" s="57">
        <v>0.11899999999999999</v>
      </c>
      <c r="H1322" s="57" t="s">
        <v>195</v>
      </c>
      <c r="I1322" s="33">
        <f t="shared" si="5"/>
        <v>1.5294117647058825</v>
      </c>
    </row>
    <row r="1323" spans="1:9" x14ac:dyDescent="0.2">
      <c r="A1323" s="70">
        <v>44663</v>
      </c>
      <c r="B1323" s="57">
        <v>2348</v>
      </c>
      <c r="C1323" s="57">
        <v>2</v>
      </c>
      <c r="D1323" s="57" t="s">
        <v>192</v>
      </c>
      <c r="E1323" s="57">
        <v>0</v>
      </c>
      <c r="F1323" s="57">
        <v>0.51600000000000001</v>
      </c>
      <c r="G1323" s="57">
        <v>0.20399999999999999</v>
      </c>
      <c r="H1323" s="57" t="s">
        <v>195</v>
      </c>
      <c r="I1323" s="33">
        <f t="shared" si="5"/>
        <v>1.5294117647058827</v>
      </c>
    </row>
    <row r="1324" spans="1:9" x14ac:dyDescent="0.2">
      <c r="A1324" s="70">
        <v>44665</v>
      </c>
      <c r="B1324" s="57">
        <v>2381</v>
      </c>
      <c r="C1324" s="57">
        <v>2</v>
      </c>
      <c r="D1324" s="57" t="s">
        <v>175</v>
      </c>
      <c r="E1324" s="57">
        <v>0</v>
      </c>
      <c r="F1324" s="57">
        <v>0.11219999999999999</v>
      </c>
      <c r="G1324" s="57">
        <v>4.4299999999999999E-2</v>
      </c>
      <c r="H1324" s="57" t="s">
        <v>191</v>
      </c>
      <c r="I1324" s="33">
        <f t="shared" si="5"/>
        <v>1.5327313769751691</v>
      </c>
    </row>
    <row r="1325" spans="1:9" x14ac:dyDescent="0.2">
      <c r="A1325" s="70">
        <v>44690</v>
      </c>
      <c r="B1325" s="57">
        <v>2087</v>
      </c>
      <c r="C1325" s="57">
        <v>2</v>
      </c>
      <c r="D1325" s="57" t="s">
        <v>175</v>
      </c>
      <c r="E1325" s="57">
        <v>0</v>
      </c>
      <c r="F1325" s="57">
        <v>0.2727</v>
      </c>
      <c r="G1325" s="57">
        <v>0.1076</v>
      </c>
      <c r="I1325" s="33">
        <f t="shared" si="5"/>
        <v>1.5343866171003717</v>
      </c>
    </row>
    <row r="1326" spans="1:9" x14ac:dyDescent="0.2">
      <c r="A1326" s="70">
        <v>44650</v>
      </c>
      <c r="B1326" s="57">
        <v>2379</v>
      </c>
      <c r="C1326" s="57">
        <v>3</v>
      </c>
      <c r="D1326" s="57" t="s">
        <v>175</v>
      </c>
      <c r="E1326" s="57">
        <v>0</v>
      </c>
      <c r="F1326" s="57">
        <v>2.7900000000000001E-2</v>
      </c>
      <c r="G1326" s="57">
        <v>1.0999999999999999E-2</v>
      </c>
      <c r="H1326" s="57" t="s">
        <v>191</v>
      </c>
      <c r="I1326" s="33">
        <f t="shared" si="5"/>
        <v>1.5363636363636366</v>
      </c>
    </row>
    <row r="1327" spans="1:9" x14ac:dyDescent="0.2">
      <c r="A1327" s="70">
        <v>44635</v>
      </c>
      <c r="B1327" s="57">
        <v>2024</v>
      </c>
      <c r="C1327" s="57">
        <v>1</v>
      </c>
      <c r="D1327" s="57" t="s">
        <v>192</v>
      </c>
      <c r="E1327" s="57">
        <v>0</v>
      </c>
      <c r="F1327" s="57">
        <v>1.6259999999999999</v>
      </c>
      <c r="G1327" s="57">
        <v>0.64100000000000001</v>
      </c>
      <c r="H1327" s="57" t="s">
        <v>194</v>
      </c>
      <c r="I1327" s="33">
        <f t="shared" si="5"/>
        <v>1.5366614664586582</v>
      </c>
    </row>
    <row r="1328" spans="1:9" x14ac:dyDescent="0.2">
      <c r="A1328" s="70">
        <v>44665</v>
      </c>
      <c r="B1328" s="57">
        <v>2012</v>
      </c>
      <c r="C1328" s="57">
        <v>3</v>
      </c>
      <c r="D1328" s="57" t="s">
        <v>175</v>
      </c>
      <c r="E1328" s="57">
        <v>1</v>
      </c>
      <c r="F1328" s="57">
        <v>7.2900000000000006E-2</v>
      </c>
      <c r="G1328" s="57">
        <v>2.87E-2</v>
      </c>
      <c r="H1328" s="57" t="s">
        <v>191</v>
      </c>
      <c r="I1328" s="33">
        <f t="shared" si="5"/>
        <v>1.5400696864111501</v>
      </c>
    </row>
    <row r="1329" spans="1:9" x14ac:dyDescent="0.2">
      <c r="A1329" s="70">
        <v>44665</v>
      </c>
      <c r="B1329" s="57">
        <v>2010</v>
      </c>
      <c r="C1329" s="57">
        <v>1</v>
      </c>
      <c r="D1329" s="57" t="s">
        <v>175</v>
      </c>
      <c r="E1329" s="57">
        <v>0</v>
      </c>
      <c r="F1329" s="57">
        <v>0.21659999999999999</v>
      </c>
      <c r="G1329" s="57">
        <v>8.5199999999999998E-2</v>
      </c>
      <c r="H1329" s="57" t="s">
        <v>191</v>
      </c>
      <c r="I1329" s="33">
        <f t="shared" si="5"/>
        <v>1.5422535211267605</v>
      </c>
    </row>
    <row r="1330" spans="1:9" x14ac:dyDescent="0.2">
      <c r="A1330" s="70">
        <v>44690</v>
      </c>
      <c r="B1330" s="57">
        <v>1475</v>
      </c>
      <c r="C1330" s="57">
        <v>3</v>
      </c>
      <c r="D1330" s="57" t="s">
        <v>175</v>
      </c>
      <c r="E1330" s="57">
        <v>0</v>
      </c>
      <c r="F1330" s="57">
        <v>0.42730000000000001</v>
      </c>
      <c r="G1330" s="57">
        <v>0.16769999999999999</v>
      </c>
      <c r="I1330" s="33">
        <f t="shared" si="5"/>
        <v>1.548002385211688</v>
      </c>
    </row>
    <row r="1331" spans="1:9" x14ac:dyDescent="0.2">
      <c r="A1331" s="70">
        <v>44662</v>
      </c>
      <c r="B1331" s="57">
        <v>2087</v>
      </c>
      <c r="C1331" s="57">
        <v>1</v>
      </c>
      <c r="D1331" s="57" t="s">
        <v>175</v>
      </c>
      <c r="E1331" s="57">
        <v>0</v>
      </c>
      <c r="F1331" s="57">
        <v>0.1963</v>
      </c>
      <c r="G1331" s="57">
        <v>7.6999999999999999E-2</v>
      </c>
      <c r="H1331" s="57" t="s">
        <v>191</v>
      </c>
      <c r="I1331" s="33">
        <f t="shared" si="5"/>
        <v>1.5493506493506495</v>
      </c>
    </row>
    <row r="1332" spans="1:9" x14ac:dyDescent="0.2">
      <c r="A1332" s="70">
        <v>44650</v>
      </c>
      <c r="B1332" s="57">
        <v>2367</v>
      </c>
      <c r="C1332" s="57">
        <v>1</v>
      </c>
      <c r="D1332" s="57" t="s">
        <v>192</v>
      </c>
      <c r="E1332" s="57" t="s">
        <v>60</v>
      </c>
      <c r="F1332" s="33">
        <f>0.161+1.5393</f>
        <v>1.7002999999999999</v>
      </c>
      <c r="G1332" s="57">
        <v>0.66600000000000004</v>
      </c>
      <c r="H1332" s="57" t="s">
        <v>191</v>
      </c>
      <c r="I1332" s="33">
        <f t="shared" si="5"/>
        <v>1.5530030030030029</v>
      </c>
    </row>
    <row r="1333" spans="1:9" x14ac:dyDescent="0.2">
      <c r="A1333" s="70">
        <v>44650</v>
      </c>
      <c r="B1333" s="57">
        <v>2378</v>
      </c>
      <c r="C1333" s="57">
        <v>2</v>
      </c>
      <c r="D1333" s="57" t="s">
        <v>175</v>
      </c>
      <c r="E1333" s="57">
        <v>0</v>
      </c>
      <c r="F1333" s="57">
        <v>0.32450000000000001</v>
      </c>
      <c r="G1333" s="57">
        <v>0.127</v>
      </c>
      <c r="H1333" s="57" t="s">
        <v>191</v>
      </c>
      <c r="I1333" s="33">
        <f t="shared" si="5"/>
        <v>1.5551181102362206</v>
      </c>
    </row>
    <row r="1334" spans="1:9" x14ac:dyDescent="0.2">
      <c r="A1334" s="70">
        <v>44706</v>
      </c>
      <c r="B1334" s="57">
        <v>2370</v>
      </c>
      <c r="C1334" s="57">
        <v>2</v>
      </c>
      <c r="D1334" s="57" t="s">
        <v>175</v>
      </c>
      <c r="E1334" s="57">
        <v>0</v>
      </c>
      <c r="F1334" s="57">
        <v>3.0700000000000002E-2</v>
      </c>
      <c r="G1334" s="57">
        <v>1.2E-2</v>
      </c>
      <c r="H1334" s="57" t="s">
        <v>193</v>
      </c>
      <c r="I1334" s="33">
        <f t="shared" si="5"/>
        <v>1.5583333333333333</v>
      </c>
    </row>
    <row r="1335" spans="1:9" x14ac:dyDescent="0.2">
      <c r="A1335" s="70">
        <v>44663</v>
      </c>
      <c r="B1335" s="57">
        <v>2009</v>
      </c>
      <c r="C1335" s="57">
        <v>3</v>
      </c>
      <c r="D1335" s="57" t="s">
        <v>175</v>
      </c>
      <c r="E1335" s="57">
        <v>0</v>
      </c>
      <c r="F1335" s="57">
        <v>0.32500000000000001</v>
      </c>
      <c r="G1335" s="57">
        <v>0.127</v>
      </c>
      <c r="H1335" s="57" t="s">
        <v>195</v>
      </c>
      <c r="I1335" s="33">
        <f t="shared" si="5"/>
        <v>1.5590551181102363</v>
      </c>
    </row>
    <row r="1336" spans="1:9" x14ac:dyDescent="0.2">
      <c r="A1336" s="70">
        <v>44665</v>
      </c>
      <c r="B1336" s="57">
        <v>2012</v>
      </c>
      <c r="C1336" s="57">
        <v>2</v>
      </c>
      <c r="D1336" s="57" t="s">
        <v>192</v>
      </c>
      <c r="E1336" s="57">
        <v>0</v>
      </c>
      <c r="F1336" s="57">
        <v>8.2900000000000001E-2</v>
      </c>
      <c r="G1336" s="57">
        <v>3.2300000000000002E-2</v>
      </c>
      <c r="H1336" s="57" t="s">
        <v>191</v>
      </c>
      <c r="I1336" s="33">
        <f t="shared" si="5"/>
        <v>1.5665634674922599</v>
      </c>
    </row>
    <row r="1337" spans="1:9" x14ac:dyDescent="0.2">
      <c r="A1337" s="70">
        <v>44662</v>
      </c>
      <c r="B1337" s="57">
        <v>2088</v>
      </c>
      <c r="C1337" s="57">
        <v>1</v>
      </c>
      <c r="D1337" s="57" t="s">
        <v>175</v>
      </c>
      <c r="E1337" s="57">
        <v>0</v>
      </c>
      <c r="F1337" s="57">
        <v>4.1099999999999998E-2</v>
      </c>
      <c r="G1337" s="57">
        <v>1.6E-2</v>
      </c>
      <c r="H1337" s="57" t="s">
        <v>191</v>
      </c>
      <c r="I1337" s="33">
        <f t="shared" si="5"/>
        <v>1.5687499999999999</v>
      </c>
    </row>
    <row r="1338" spans="1:9" x14ac:dyDescent="0.2">
      <c r="A1338" s="70">
        <v>44650</v>
      </c>
      <c r="B1338" s="57">
        <v>2379</v>
      </c>
      <c r="C1338" s="57">
        <v>2</v>
      </c>
      <c r="D1338" s="57" t="s">
        <v>175</v>
      </c>
      <c r="E1338" s="57">
        <v>0</v>
      </c>
      <c r="F1338" s="57">
        <v>2.5700000000000001E-2</v>
      </c>
      <c r="G1338" s="57">
        <v>0.01</v>
      </c>
      <c r="H1338" s="57" t="s">
        <v>191</v>
      </c>
      <c r="I1338" s="33">
        <f t="shared" si="5"/>
        <v>1.5699999999999998</v>
      </c>
    </row>
    <row r="1339" spans="1:9" x14ac:dyDescent="0.2">
      <c r="A1339" s="70">
        <v>44665</v>
      </c>
      <c r="B1339" s="57">
        <v>2010</v>
      </c>
      <c r="C1339" s="57">
        <v>2</v>
      </c>
      <c r="D1339" s="57" t="s">
        <v>175</v>
      </c>
      <c r="E1339" s="57">
        <v>0</v>
      </c>
      <c r="F1339" s="57">
        <v>0.26079999999999998</v>
      </c>
      <c r="G1339" s="57">
        <v>0.1014</v>
      </c>
      <c r="H1339" s="57" t="s">
        <v>191</v>
      </c>
      <c r="I1339" s="33">
        <f t="shared" si="5"/>
        <v>1.5719921104536487</v>
      </c>
    </row>
    <row r="1340" spans="1:9" x14ac:dyDescent="0.2">
      <c r="A1340" s="70">
        <v>44650</v>
      </c>
      <c r="B1340" s="57">
        <v>2364</v>
      </c>
      <c r="C1340" s="57">
        <v>2</v>
      </c>
      <c r="D1340" s="57" t="s">
        <v>175</v>
      </c>
      <c r="E1340" s="57">
        <v>0</v>
      </c>
      <c r="F1340" s="57">
        <v>5.9200000000000003E-2</v>
      </c>
      <c r="G1340" s="57">
        <v>2.3E-2</v>
      </c>
      <c r="H1340" s="57" t="s">
        <v>191</v>
      </c>
      <c r="I1340" s="33">
        <f t="shared" si="5"/>
        <v>1.5739130434782611</v>
      </c>
    </row>
    <row r="1341" spans="1:9" x14ac:dyDescent="0.2">
      <c r="A1341" s="70">
        <v>44650</v>
      </c>
      <c r="B1341" s="57">
        <v>2369</v>
      </c>
      <c r="C1341" s="57">
        <v>1</v>
      </c>
      <c r="D1341" s="57" t="s">
        <v>175</v>
      </c>
      <c r="E1341" s="57">
        <v>0</v>
      </c>
      <c r="F1341" s="57">
        <v>5.4100000000000002E-2</v>
      </c>
      <c r="G1341" s="57">
        <v>2.1000000000000001E-2</v>
      </c>
      <c r="H1341" s="57" t="s">
        <v>191</v>
      </c>
      <c r="I1341" s="33">
        <f t="shared" si="5"/>
        <v>1.5761904761904764</v>
      </c>
    </row>
    <row r="1342" spans="1:9" x14ac:dyDescent="0.2">
      <c r="A1342" s="70">
        <v>44665</v>
      </c>
      <c r="B1342" s="57">
        <v>2351</v>
      </c>
      <c r="C1342" s="57">
        <v>1</v>
      </c>
      <c r="D1342" s="57" t="s">
        <v>192</v>
      </c>
      <c r="E1342" s="57">
        <v>0</v>
      </c>
      <c r="F1342" s="57">
        <v>0.98380000000000001</v>
      </c>
      <c r="G1342" s="57">
        <v>0.38179999999999997</v>
      </c>
      <c r="H1342" s="57" t="s">
        <v>191</v>
      </c>
      <c r="I1342" s="33">
        <f t="shared" si="5"/>
        <v>1.5767417496071245</v>
      </c>
    </row>
    <row r="1343" spans="1:9" x14ac:dyDescent="0.2">
      <c r="A1343" s="70">
        <v>44665</v>
      </c>
      <c r="B1343" s="57">
        <v>2025</v>
      </c>
      <c r="C1343" s="57">
        <v>1</v>
      </c>
      <c r="D1343" s="57" t="s">
        <v>175</v>
      </c>
      <c r="E1343" s="57">
        <v>0</v>
      </c>
      <c r="F1343" s="57">
        <v>7.0099999999999996E-2</v>
      </c>
      <c r="G1343" s="57">
        <v>2.7199999999999998E-2</v>
      </c>
      <c r="H1343" s="57" t="s">
        <v>191</v>
      </c>
      <c r="I1343" s="33">
        <f t="shared" si="5"/>
        <v>1.5772058823529411</v>
      </c>
    </row>
    <row r="1344" spans="1:9" x14ac:dyDescent="0.2">
      <c r="A1344" s="70">
        <v>44665</v>
      </c>
      <c r="B1344" s="57">
        <v>2012</v>
      </c>
      <c r="C1344" s="57">
        <v>1</v>
      </c>
      <c r="D1344" s="57" t="s">
        <v>175</v>
      </c>
      <c r="E1344" s="57">
        <v>0</v>
      </c>
      <c r="F1344" s="57">
        <v>8.4900000000000003E-2</v>
      </c>
      <c r="G1344" s="57">
        <v>3.2899999999999999E-2</v>
      </c>
      <c r="H1344" s="57" t="s">
        <v>191</v>
      </c>
      <c r="I1344" s="33">
        <f t="shared" si="5"/>
        <v>1.5805471124620063</v>
      </c>
    </row>
    <row r="1345" spans="1:9" x14ac:dyDescent="0.2">
      <c r="A1345" s="70">
        <v>44663</v>
      </c>
      <c r="B1345" s="57">
        <v>2371</v>
      </c>
      <c r="C1345" s="57">
        <v>1</v>
      </c>
      <c r="D1345" s="57" t="s">
        <v>175</v>
      </c>
      <c r="E1345" s="57">
        <v>0</v>
      </c>
      <c r="F1345" s="57">
        <v>0.124</v>
      </c>
      <c r="G1345" s="57">
        <v>4.8000000000000001E-2</v>
      </c>
      <c r="H1345" s="57" t="s">
        <v>195</v>
      </c>
      <c r="I1345" s="33">
        <f t="shared" si="5"/>
        <v>1.5833333333333333</v>
      </c>
    </row>
    <row r="1346" spans="1:9" x14ac:dyDescent="0.2">
      <c r="A1346" s="70">
        <v>44650</v>
      </c>
      <c r="B1346" s="57">
        <v>2379</v>
      </c>
      <c r="C1346" s="57">
        <v>1</v>
      </c>
      <c r="D1346" s="57" t="s">
        <v>175</v>
      </c>
      <c r="E1346" s="57">
        <v>0</v>
      </c>
      <c r="F1346" s="57">
        <v>1.8100000000000002E-2</v>
      </c>
      <c r="G1346" s="57">
        <v>7.0000000000000001E-3</v>
      </c>
      <c r="H1346" s="57" t="s">
        <v>191</v>
      </c>
      <c r="I1346" s="33">
        <f t="shared" si="5"/>
        <v>1.5857142857142861</v>
      </c>
    </row>
    <row r="1347" spans="1:9" x14ac:dyDescent="0.2">
      <c r="A1347" s="70">
        <v>44665</v>
      </c>
      <c r="B1347" s="57">
        <v>2377</v>
      </c>
      <c r="C1347" s="57">
        <v>1</v>
      </c>
      <c r="D1347" s="57" t="s">
        <v>175</v>
      </c>
      <c r="E1347" s="57">
        <v>0</v>
      </c>
      <c r="F1347" s="57">
        <v>0.1186</v>
      </c>
      <c r="G1347" s="57">
        <v>4.58E-2</v>
      </c>
      <c r="H1347" s="57" t="s">
        <v>191</v>
      </c>
      <c r="I1347" s="33">
        <f t="shared" si="5"/>
        <v>1.589519650655022</v>
      </c>
    </row>
    <row r="1348" spans="1:9" x14ac:dyDescent="0.2">
      <c r="A1348" s="70">
        <v>44650</v>
      </c>
      <c r="B1348" s="57">
        <v>2346</v>
      </c>
      <c r="C1348" s="57">
        <v>2</v>
      </c>
      <c r="D1348" s="57" t="s">
        <v>175</v>
      </c>
      <c r="E1348" s="57">
        <v>0</v>
      </c>
      <c r="F1348" s="57">
        <v>2.5999999999999999E-2</v>
      </c>
      <c r="G1348" s="57">
        <v>0.01</v>
      </c>
      <c r="H1348" s="57" t="s">
        <v>191</v>
      </c>
      <c r="I1348" s="33">
        <f t="shared" si="5"/>
        <v>1.6</v>
      </c>
    </row>
    <row r="1349" spans="1:9" x14ac:dyDescent="0.2">
      <c r="A1349" s="70">
        <v>44663</v>
      </c>
      <c r="B1349" s="57">
        <v>2349</v>
      </c>
      <c r="C1349" s="57">
        <v>3</v>
      </c>
      <c r="D1349" s="57" t="s">
        <v>192</v>
      </c>
      <c r="E1349" s="57">
        <v>0</v>
      </c>
      <c r="F1349" s="57">
        <v>0.45300000000000001</v>
      </c>
      <c r="G1349" s="57">
        <v>0.17399999999999999</v>
      </c>
      <c r="H1349" s="57" t="s">
        <v>195</v>
      </c>
      <c r="I1349" s="33">
        <f t="shared" si="5"/>
        <v>1.6034482758620692</v>
      </c>
    </row>
    <row r="1350" spans="1:9" x14ac:dyDescent="0.2">
      <c r="A1350" s="70">
        <v>44708</v>
      </c>
      <c r="B1350" s="57">
        <v>2013</v>
      </c>
      <c r="C1350" s="57">
        <v>1</v>
      </c>
      <c r="D1350" s="57" t="s">
        <v>175</v>
      </c>
      <c r="E1350" s="57">
        <v>0</v>
      </c>
      <c r="F1350" s="57">
        <v>0.1615</v>
      </c>
      <c r="G1350" s="57">
        <v>6.2E-2</v>
      </c>
      <c r="H1350" s="57" t="s">
        <v>193</v>
      </c>
      <c r="I1350" s="33">
        <f t="shared" si="5"/>
        <v>1.6048387096774195</v>
      </c>
    </row>
    <row r="1351" spans="1:9" x14ac:dyDescent="0.2">
      <c r="A1351" s="70">
        <v>44663</v>
      </c>
      <c r="B1351" s="57">
        <v>2349</v>
      </c>
      <c r="C1351" s="57">
        <v>2</v>
      </c>
      <c r="D1351" s="57" t="s">
        <v>192</v>
      </c>
      <c r="E1351" s="57">
        <v>0</v>
      </c>
      <c r="F1351" s="57">
        <v>1.2070000000000001</v>
      </c>
      <c r="G1351" s="57">
        <v>0.46300000000000002</v>
      </c>
      <c r="H1351" s="57" t="s">
        <v>195</v>
      </c>
      <c r="I1351" s="33">
        <f t="shared" si="5"/>
        <v>1.6069114470842332</v>
      </c>
    </row>
    <row r="1352" spans="1:9" x14ac:dyDescent="0.2">
      <c r="A1352" s="70">
        <v>44665</v>
      </c>
      <c r="B1352" s="57">
        <v>2013</v>
      </c>
      <c r="C1352" s="57">
        <v>2</v>
      </c>
      <c r="D1352" s="57" t="s">
        <v>192</v>
      </c>
      <c r="E1352" s="57">
        <v>1</v>
      </c>
      <c r="F1352" s="57">
        <v>1.1168</v>
      </c>
      <c r="G1352" s="57">
        <v>0.42780000000000001</v>
      </c>
      <c r="H1352" s="57" t="s">
        <v>191</v>
      </c>
      <c r="I1352" s="33">
        <f t="shared" si="5"/>
        <v>1.6105656848994858</v>
      </c>
    </row>
    <row r="1353" spans="1:9" x14ac:dyDescent="0.2">
      <c r="A1353" s="70">
        <v>44665</v>
      </c>
      <c r="B1353" s="57">
        <v>2013</v>
      </c>
      <c r="C1353" s="57">
        <v>1</v>
      </c>
      <c r="D1353" s="57" t="s">
        <v>192</v>
      </c>
      <c r="E1353" s="57">
        <v>0</v>
      </c>
      <c r="F1353" s="57">
        <v>0.69869999999999999</v>
      </c>
      <c r="G1353" s="57">
        <v>0.2676</v>
      </c>
      <c r="H1353" s="57" t="s">
        <v>191</v>
      </c>
      <c r="I1353" s="33">
        <f t="shared" si="5"/>
        <v>1.6109865470852016</v>
      </c>
    </row>
    <row r="1354" spans="1:9" x14ac:dyDescent="0.2">
      <c r="A1354" s="70">
        <v>44663</v>
      </c>
      <c r="B1354" s="57">
        <v>2371</v>
      </c>
      <c r="C1354" s="57">
        <v>2</v>
      </c>
      <c r="D1354" s="57" t="s">
        <v>175</v>
      </c>
      <c r="E1354" s="57">
        <v>0</v>
      </c>
      <c r="F1354" s="57">
        <v>3.4000000000000002E-2</v>
      </c>
      <c r="G1354" s="57">
        <v>1.2999999999999999E-2</v>
      </c>
      <c r="H1354" s="57" t="s">
        <v>195</v>
      </c>
      <c r="I1354" s="33">
        <f t="shared" si="5"/>
        <v>1.6153846153846159</v>
      </c>
    </row>
    <row r="1355" spans="1:9" x14ac:dyDescent="0.2">
      <c r="A1355" s="70">
        <v>44650</v>
      </c>
      <c r="B1355" s="57">
        <v>2369</v>
      </c>
      <c r="C1355" s="57">
        <v>3</v>
      </c>
      <c r="D1355" s="57" t="s">
        <v>192</v>
      </c>
      <c r="E1355" s="57" t="s">
        <v>60</v>
      </c>
      <c r="F1355" s="57">
        <v>0.44990000000000002</v>
      </c>
      <c r="G1355" s="57">
        <v>0.17199999999999999</v>
      </c>
      <c r="H1355" s="57" t="s">
        <v>191</v>
      </c>
      <c r="I1355" s="33">
        <f t="shared" si="5"/>
        <v>1.6156976744186049</v>
      </c>
    </row>
    <row r="1356" spans="1:9" x14ac:dyDescent="0.2">
      <c r="A1356" s="70">
        <v>44684</v>
      </c>
      <c r="B1356" s="57">
        <v>2081</v>
      </c>
      <c r="C1356" s="57">
        <v>3</v>
      </c>
      <c r="D1356" s="57" t="s">
        <v>175</v>
      </c>
      <c r="E1356" s="57">
        <v>0</v>
      </c>
      <c r="F1356" s="57">
        <v>0.1593</v>
      </c>
      <c r="G1356" s="57">
        <v>6.0900000000000003E-2</v>
      </c>
      <c r="H1356" s="57" t="s">
        <v>196</v>
      </c>
      <c r="I1356" s="33">
        <f t="shared" si="5"/>
        <v>1.6157635467980294</v>
      </c>
    </row>
    <row r="1357" spans="1:9" x14ac:dyDescent="0.2">
      <c r="A1357" s="70">
        <v>44690</v>
      </c>
      <c r="B1357" s="57">
        <v>2031</v>
      </c>
      <c r="C1357" s="57">
        <v>2</v>
      </c>
      <c r="D1357" s="57" t="s">
        <v>175</v>
      </c>
      <c r="E1357" s="57">
        <v>0</v>
      </c>
      <c r="F1357" s="57">
        <v>0.25119999999999998</v>
      </c>
      <c r="G1357" s="57">
        <v>9.6000000000000002E-2</v>
      </c>
      <c r="I1357" s="33">
        <f t="shared" si="5"/>
        <v>1.6166666666666665</v>
      </c>
    </row>
    <row r="1358" spans="1:9" x14ac:dyDescent="0.2">
      <c r="A1358" s="70">
        <v>44690</v>
      </c>
      <c r="B1358" s="57">
        <v>1475</v>
      </c>
      <c r="C1358" s="57">
        <v>2</v>
      </c>
      <c r="D1358" s="57" t="s">
        <v>175</v>
      </c>
      <c r="E1358" s="57">
        <v>0</v>
      </c>
      <c r="F1358" s="57">
        <v>0.20760000000000001</v>
      </c>
      <c r="G1358" s="57">
        <v>7.9299999999999995E-2</v>
      </c>
      <c r="I1358" s="33">
        <f t="shared" si="5"/>
        <v>1.6179066834804543</v>
      </c>
    </row>
    <row r="1359" spans="1:9" x14ac:dyDescent="0.2">
      <c r="A1359" s="70">
        <v>44690</v>
      </c>
      <c r="B1359" s="57">
        <v>2086</v>
      </c>
      <c r="C1359" s="57">
        <v>3</v>
      </c>
      <c r="D1359" s="57" t="s">
        <v>175</v>
      </c>
      <c r="E1359" s="57">
        <v>0</v>
      </c>
      <c r="F1359" s="57">
        <v>0.15110000000000001</v>
      </c>
      <c r="G1359" s="57">
        <v>5.7700000000000001E-2</v>
      </c>
      <c r="I1359" s="33">
        <f t="shared" si="5"/>
        <v>1.6187175043327557</v>
      </c>
    </row>
    <row r="1360" spans="1:9" x14ac:dyDescent="0.2">
      <c r="A1360" s="70">
        <v>44662</v>
      </c>
      <c r="B1360" s="57">
        <v>2088</v>
      </c>
      <c r="C1360" s="57">
        <v>2</v>
      </c>
      <c r="D1360" s="57" t="s">
        <v>175</v>
      </c>
      <c r="E1360" s="57">
        <v>0</v>
      </c>
      <c r="F1360" s="57">
        <v>9.4600000000000004E-2</v>
      </c>
      <c r="G1360" s="57">
        <v>3.5999999999999997E-2</v>
      </c>
      <c r="H1360" s="57" t="s">
        <v>191</v>
      </c>
      <c r="I1360" s="33">
        <f t="shared" si="5"/>
        <v>1.627777777777778</v>
      </c>
    </row>
    <row r="1361" spans="1:9" x14ac:dyDescent="0.2">
      <c r="A1361" s="70">
        <v>44650</v>
      </c>
      <c r="B1361" s="57">
        <v>2369</v>
      </c>
      <c r="C1361" s="57">
        <v>2</v>
      </c>
      <c r="D1361" s="57" t="s">
        <v>175</v>
      </c>
      <c r="E1361" s="57">
        <v>0</v>
      </c>
      <c r="F1361" s="57">
        <v>1.84E-2</v>
      </c>
      <c r="G1361" s="57">
        <v>7.0000000000000001E-3</v>
      </c>
      <c r="H1361" s="57" t="s">
        <v>191</v>
      </c>
      <c r="I1361" s="33">
        <f t="shared" si="5"/>
        <v>1.6285714285714286</v>
      </c>
    </row>
    <row r="1362" spans="1:9" x14ac:dyDescent="0.2">
      <c r="A1362" s="70">
        <v>44663</v>
      </c>
      <c r="B1362" s="57">
        <v>2343</v>
      </c>
      <c r="C1362" s="57">
        <v>2</v>
      </c>
      <c r="D1362" s="57" t="s">
        <v>175</v>
      </c>
      <c r="E1362" s="57">
        <v>0</v>
      </c>
      <c r="F1362" s="57">
        <v>0.14499999999999999</v>
      </c>
      <c r="G1362" s="57">
        <v>5.5E-2</v>
      </c>
      <c r="H1362" s="57" t="s">
        <v>195</v>
      </c>
      <c r="I1362" s="33">
        <f t="shared" si="5"/>
        <v>1.6363636363636362</v>
      </c>
    </row>
    <row r="1363" spans="1:9" x14ac:dyDescent="0.2">
      <c r="A1363" s="70">
        <v>44663</v>
      </c>
      <c r="B1363" s="57">
        <v>2346</v>
      </c>
      <c r="C1363" s="57">
        <v>1</v>
      </c>
      <c r="D1363" s="57" t="s">
        <v>175</v>
      </c>
      <c r="E1363" s="57">
        <v>0</v>
      </c>
      <c r="F1363" s="57">
        <v>0.20300000000000001</v>
      </c>
      <c r="G1363" s="57">
        <v>7.6999999999999999E-2</v>
      </c>
      <c r="H1363" s="57" t="s">
        <v>195</v>
      </c>
      <c r="I1363" s="33">
        <f t="shared" si="5"/>
        <v>1.6363636363636365</v>
      </c>
    </row>
    <row r="1364" spans="1:9" x14ac:dyDescent="0.2">
      <c r="A1364" s="70">
        <v>44663</v>
      </c>
      <c r="B1364" s="57">
        <v>2349</v>
      </c>
      <c r="C1364" s="57">
        <v>2</v>
      </c>
      <c r="D1364" s="57" t="s">
        <v>175</v>
      </c>
      <c r="E1364" s="57">
        <v>0</v>
      </c>
      <c r="F1364" s="57">
        <v>8.2000000000000003E-2</v>
      </c>
      <c r="G1364" s="57">
        <v>3.1E-2</v>
      </c>
      <c r="H1364" s="57" t="s">
        <v>195</v>
      </c>
      <c r="I1364" s="33">
        <f t="shared" si="5"/>
        <v>1.6451612903225807</v>
      </c>
    </row>
    <row r="1365" spans="1:9" x14ac:dyDescent="0.2">
      <c r="A1365" s="70">
        <v>44662</v>
      </c>
      <c r="B1365" s="57">
        <v>2086</v>
      </c>
      <c r="C1365" s="57">
        <v>2</v>
      </c>
      <c r="D1365" s="57" t="s">
        <v>175</v>
      </c>
      <c r="E1365" s="57">
        <v>0</v>
      </c>
      <c r="F1365" s="57">
        <v>0.22989999999999999</v>
      </c>
      <c r="G1365" s="57">
        <v>8.6499999999999994E-2</v>
      </c>
      <c r="H1365" s="57" t="s">
        <v>191</v>
      </c>
      <c r="I1365" s="33">
        <f t="shared" si="5"/>
        <v>1.6578034682080927</v>
      </c>
    </row>
    <row r="1366" spans="1:9" x14ac:dyDescent="0.2">
      <c r="A1366" s="70">
        <v>44650</v>
      </c>
      <c r="B1366" s="57">
        <v>2367</v>
      </c>
      <c r="C1366" s="57">
        <v>3</v>
      </c>
      <c r="D1366" s="57" t="s">
        <v>192</v>
      </c>
      <c r="E1366" s="57" t="s">
        <v>60</v>
      </c>
      <c r="F1366" s="57">
        <v>0.74709999999999999</v>
      </c>
      <c r="G1366" s="57">
        <v>0.28100000000000003</v>
      </c>
      <c r="H1366" s="57" t="s">
        <v>191</v>
      </c>
      <c r="I1366" s="33">
        <f t="shared" si="5"/>
        <v>1.6587188612099641</v>
      </c>
    </row>
    <row r="1367" spans="1:9" x14ac:dyDescent="0.2">
      <c r="A1367" s="70">
        <v>44663</v>
      </c>
      <c r="B1367" s="57">
        <v>2349</v>
      </c>
      <c r="C1367" s="57">
        <v>1</v>
      </c>
      <c r="D1367" s="57" t="s">
        <v>192</v>
      </c>
      <c r="E1367" s="57">
        <v>0</v>
      </c>
      <c r="F1367" s="57">
        <v>0.67800000000000005</v>
      </c>
      <c r="G1367" s="57">
        <v>0.255</v>
      </c>
      <c r="H1367" s="57" t="s">
        <v>195</v>
      </c>
      <c r="I1367" s="33">
        <f t="shared" si="5"/>
        <v>1.6588235294117648</v>
      </c>
    </row>
    <row r="1368" spans="1:9" x14ac:dyDescent="0.2">
      <c r="A1368" s="70">
        <v>44663</v>
      </c>
      <c r="B1368" s="57">
        <v>2343</v>
      </c>
      <c r="C1368" s="57">
        <v>1</v>
      </c>
      <c r="D1368" s="57" t="s">
        <v>175</v>
      </c>
      <c r="E1368" s="57">
        <v>0</v>
      </c>
      <c r="F1368" s="57">
        <v>0.125</v>
      </c>
      <c r="G1368" s="57">
        <v>4.7E-2</v>
      </c>
      <c r="H1368" s="57" t="s">
        <v>195</v>
      </c>
      <c r="I1368" s="33">
        <f t="shared" si="5"/>
        <v>1.6595744680851063</v>
      </c>
    </row>
    <row r="1369" spans="1:9" x14ac:dyDescent="0.2">
      <c r="A1369" s="70">
        <v>44690</v>
      </c>
      <c r="B1369" s="57">
        <v>2022</v>
      </c>
      <c r="C1369" s="57">
        <v>3</v>
      </c>
      <c r="D1369" s="57" t="s">
        <v>175</v>
      </c>
      <c r="E1369" s="57">
        <v>0</v>
      </c>
      <c r="F1369" s="57">
        <v>3.3300000000000003E-2</v>
      </c>
      <c r="G1369" s="57">
        <v>1.2500000000000001E-2</v>
      </c>
      <c r="I1369" s="33">
        <f t="shared" si="5"/>
        <v>1.6640000000000001</v>
      </c>
    </row>
    <row r="1370" spans="1:9" x14ac:dyDescent="0.2">
      <c r="A1370" s="70">
        <v>44650</v>
      </c>
      <c r="B1370" s="57">
        <v>2343</v>
      </c>
      <c r="C1370" s="57">
        <v>2</v>
      </c>
      <c r="D1370" s="57" t="s">
        <v>192</v>
      </c>
      <c r="E1370" s="57" t="s">
        <v>60</v>
      </c>
      <c r="F1370" s="57">
        <v>1.4125000000000001</v>
      </c>
      <c r="G1370" s="57">
        <v>0.52900000000000003</v>
      </c>
      <c r="H1370" s="57" t="s">
        <v>191</v>
      </c>
      <c r="I1370" s="33">
        <f t="shared" si="5"/>
        <v>1.670132325141777</v>
      </c>
    </row>
    <row r="1371" spans="1:9" x14ac:dyDescent="0.2">
      <c r="A1371" s="70">
        <v>44690</v>
      </c>
      <c r="B1371" s="57">
        <v>2087</v>
      </c>
      <c r="C1371" s="57">
        <v>3</v>
      </c>
      <c r="D1371" s="57" t="s">
        <v>175</v>
      </c>
      <c r="E1371" s="57">
        <v>0</v>
      </c>
      <c r="F1371" s="57">
        <v>0.55589999999999995</v>
      </c>
      <c r="G1371" s="72">
        <v>0.20799999999999999</v>
      </c>
      <c r="I1371" s="33">
        <f t="shared" si="5"/>
        <v>1.6725961538461538</v>
      </c>
    </row>
    <row r="1372" spans="1:9" x14ac:dyDescent="0.2">
      <c r="A1372" s="70">
        <v>44650</v>
      </c>
      <c r="B1372" s="57">
        <v>2343</v>
      </c>
      <c r="C1372" s="57">
        <v>1</v>
      </c>
      <c r="D1372" s="57" t="s">
        <v>175</v>
      </c>
      <c r="E1372" s="57">
        <v>0</v>
      </c>
      <c r="F1372" s="57">
        <v>5.6500000000000002E-2</v>
      </c>
      <c r="G1372" s="57">
        <v>2.1000000000000001E-2</v>
      </c>
      <c r="H1372" s="57" t="s">
        <v>191</v>
      </c>
      <c r="I1372" s="33">
        <f t="shared" si="5"/>
        <v>1.6904761904761905</v>
      </c>
    </row>
    <row r="1373" spans="1:9" x14ac:dyDescent="0.2">
      <c r="A1373" s="70">
        <v>44665</v>
      </c>
      <c r="B1373" s="57">
        <v>2351</v>
      </c>
      <c r="C1373" s="57">
        <v>3</v>
      </c>
      <c r="D1373" s="57" t="s">
        <v>175</v>
      </c>
      <c r="E1373" s="57">
        <v>0</v>
      </c>
      <c r="F1373" s="57">
        <v>2.4500000000000001E-2</v>
      </c>
      <c r="G1373" s="57">
        <v>9.1000000000000004E-3</v>
      </c>
      <c r="H1373" s="57" t="s">
        <v>191</v>
      </c>
      <c r="I1373" s="33">
        <f t="shared" si="5"/>
        <v>1.6923076923076923</v>
      </c>
    </row>
    <row r="1374" spans="1:9" x14ac:dyDescent="0.2">
      <c r="A1374" s="70">
        <v>44665</v>
      </c>
      <c r="B1374" s="57">
        <v>2351</v>
      </c>
      <c r="C1374" s="57">
        <v>1</v>
      </c>
      <c r="D1374" s="57" t="s">
        <v>175</v>
      </c>
      <c r="E1374" s="57">
        <v>0</v>
      </c>
      <c r="F1374" s="57">
        <v>3.7100000000000001E-2</v>
      </c>
      <c r="G1374" s="57">
        <v>1.37E-2</v>
      </c>
      <c r="H1374" s="57" t="s">
        <v>191</v>
      </c>
      <c r="I1374" s="33">
        <f t="shared" si="5"/>
        <v>1.7080291970802919</v>
      </c>
    </row>
    <row r="1375" spans="1:9" x14ac:dyDescent="0.2">
      <c r="A1375" s="70">
        <v>44635</v>
      </c>
      <c r="B1375" s="57">
        <v>2005</v>
      </c>
      <c r="C1375" s="57">
        <v>1</v>
      </c>
      <c r="D1375" s="57" t="s">
        <v>192</v>
      </c>
      <c r="E1375" s="57">
        <v>0</v>
      </c>
      <c r="F1375" s="57">
        <v>2.6840000000000002</v>
      </c>
      <c r="G1375" s="57">
        <v>0.99</v>
      </c>
      <c r="H1375" s="57" t="s">
        <v>194</v>
      </c>
      <c r="I1375" s="33">
        <f t="shared" si="5"/>
        <v>1.7111111111111112</v>
      </c>
    </row>
    <row r="1376" spans="1:9" x14ac:dyDescent="0.2">
      <c r="A1376" s="70">
        <v>44690</v>
      </c>
      <c r="B1376" s="57">
        <v>1475</v>
      </c>
      <c r="C1376" s="57">
        <v>1</v>
      </c>
      <c r="D1376" s="57" t="s">
        <v>175</v>
      </c>
      <c r="E1376" s="57">
        <v>0</v>
      </c>
      <c r="F1376" s="57">
        <v>8.2299999999999998E-2</v>
      </c>
      <c r="G1376" s="57">
        <v>3.0300000000000001E-2</v>
      </c>
      <c r="I1376" s="33">
        <f t="shared" si="5"/>
        <v>1.7161716171617161</v>
      </c>
    </row>
    <row r="1377" spans="1:9" x14ac:dyDescent="0.2">
      <c r="A1377" s="70">
        <v>44650</v>
      </c>
      <c r="B1377" s="57">
        <v>2009</v>
      </c>
      <c r="C1377" s="57">
        <v>3</v>
      </c>
      <c r="D1377" s="57" t="s">
        <v>192</v>
      </c>
      <c r="E1377" s="57" t="s">
        <v>60</v>
      </c>
      <c r="F1377" s="57">
        <v>1.2544</v>
      </c>
      <c r="G1377" s="57">
        <v>0.46100000000000002</v>
      </c>
      <c r="H1377" s="57" t="s">
        <v>191</v>
      </c>
      <c r="I1377" s="33">
        <f t="shared" si="5"/>
        <v>1.7210412147505421</v>
      </c>
    </row>
    <row r="1378" spans="1:9" x14ac:dyDescent="0.2">
      <c r="A1378" s="70">
        <v>44650</v>
      </c>
      <c r="B1378" s="57">
        <v>2009</v>
      </c>
      <c r="C1378" s="57">
        <v>1</v>
      </c>
      <c r="D1378" s="57" t="s">
        <v>192</v>
      </c>
      <c r="E1378" s="57" t="s">
        <v>60</v>
      </c>
      <c r="F1378" s="57">
        <v>0.71870000000000001</v>
      </c>
      <c r="G1378" s="57">
        <v>0.26400000000000001</v>
      </c>
      <c r="H1378" s="57" t="s">
        <v>191</v>
      </c>
      <c r="I1378" s="33">
        <f t="shared" si="5"/>
        <v>1.7223484848484847</v>
      </c>
    </row>
    <row r="1379" spans="1:9" x14ac:dyDescent="0.2">
      <c r="A1379" s="70">
        <v>44663</v>
      </c>
      <c r="B1379" s="57">
        <v>2347</v>
      </c>
      <c r="C1379" s="57">
        <v>1</v>
      </c>
      <c r="D1379" s="57" t="s">
        <v>175</v>
      </c>
      <c r="E1379" s="57">
        <v>0</v>
      </c>
      <c r="F1379" s="57">
        <v>0.159</v>
      </c>
      <c r="G1379" s="57">
        <v>5.8000000000000003E-2</v>
      </c>
      <c r="H1379" s="57" t="s">
        <v>195</v>
      </c>
      <c r="I1379" s="33">
        <f t="shared" si="5"/>
        <v>1.7413793103448276</v>
      </c>
    </row>
    <row r="1380" spans="1:9" x14ac:dyDescent="0.2">
      <c r="A1380" s="70">
        <v>44663</v>
      </c>
      <c r="B1380" s="57">
        <v>2346</v>
      </c>
      <c r="C1380" s="57">
        <v>2</v>
      </c>
      <c r="D1380" s="57" t="s">
        <v>175</v>
      </c>
      <c r="E1380" s="57">
        <v>0</v>
      </c>
      <c r="F1380" s="57">
        <v>1.0999999999999999E-2</v>
      </c>
      <c r="G1380" s="57">
        <v>4.0000000000000001E-3</v>
      </c>
      <c r="H1380" s="57" t="s">
        <v>195</v>
      </c>
      <c r="I1380" s="33">
        <f t="shared" si="5"/>
        <v>1.7499999999999998</v>
      </c>
    </row>
    <row r="1381" spans="1:9" x14ac:dyDescent="0.2">
      <c r="A1381" s="70">
        <v>44663</v>
      </c>
      <c r="B1381" s="57">
        <v>2370</v>
      </c>
      <c r="C1381" s="57">
        <v>2</v>
      </c>
      <c r="D1381" s="57" t="s">
        <v>175</v>
      </c>
      <c r="E1381" s="57">
        <v>0</v>
      </c>
      <c r="F1381" s="57">
        <v>3.3000000000000002E-2</v>
      </c>
      <c r="G1381" s="57">
        <v>1.2E-2</v>
      </c>
      <c r="H1381" s="57" t="s">
        <v>195</v>
      </c>
      <c r="I1381" s="33">
        <f t="shared" si="5"/>
        <v>1.75</v>
      </c>
    </row>
    <row r="1382" spans="1:9" x14ac:dyDescent="0.2">
      <c r="A1382" s="70">
        <v>44635</v>
      </c>
      <c r="B1382" s="57">
        <v>2381</v>
      </c>
      <c r="C1382" s="57">
        <v>1</v>
      </c>
      <c r="D1382" s="57" t="s">
        <v>192</v>
      </c>
      <c r="E1382" s="57">
        <v>0</v>
      </c>
      <c r="F1382" s="57">
        <v>3.8370000000000002</v>
      </c>
      <c r="G1382" s="57">
        <v>1.3939999999999999</v>
      </c>
      <c r="H1382" s="57" t="s">
        <v>194</v>
      </c>
      <c r="I1382" s="33">
        <f t="shared" si="5"/>
        <v>1.752510760401722</v>
      </c>
    </row>
    <row r="1383" spans="1:9" x14ac:dyDescent="0.2">
      <c r="A1383" s="70">
        <v>44663</v>
      </c>
      <c r="B1383" s="57">
        <v>2346</v>
      </c>
      <c r="C1383" s="57">
        <v>3</v>
      </c>
      <c r="D1383" s="57" t="s">
        <v>175</v>
      </c>
      <c r="E1383" s="57">
        <v>0</v>
      </c>
      <c r="F1383" s="57">
        <v>6.9000000000000006E-2</v>
      </c>
      <c r="G1383" s="57">
        <v>2.5000000000000001E-2</v>
      </c>
      <c r="H1383" s="57" t="s">
        <v>195</v>
      </c>
      <c r="I1383" s="33">
        <f t="shared" si="5"/>
        <v>1.76</v>
      </c>
    </row>
    <row r="1384" spans="1:9" x14ac:dyDescent="0.2">
      <c r="A1384" s="70">
        <v>44663</v>
      </c>
      <c r="B1384" s="57">
        <v>2372</v>
      </c>
      <c r="C1384" s="57">
        <v>1</v>
      </c>
      <c r="D1384" s="57" t="s">
        <v>175</v>
      </c>
      <c r="E1384" s="57">
        <v>0</v>
      </c>
      <c r="F1384" s="57">
        <v>0.13800000000000001</v>
      </c>
      <c r="G1384" s="57">
        <v>0.05</v>
      </c>
      <c r="H1384" s="57" t="s">
        <v>195</v>
      </c>
      <c r="I1384" s="33">
        <f t="shared" si="5"/>
        <v>1.76</v>
      </c>
    </row>
    <row r="1385" spans="1:9" x14ac:dyDescent="0.2">
      <c r="A1385" s="70">
        <v>44663</v>
      </c>
      <c r="B1385" s="57">
        <v>2348</v>
      </c>
      <c r="C1385" s="57">
        <v>3</v>
      </c>
      <c r="D1385" s="57" t="s">
        <v>175</v>
      </c>
      <c r="E1385" s="57">
        <v>0</v>
      </c>
      <c r="F1385" s="57">
        <v>3.5999999999999997E-2</v>
      </c>
      <c r="G1385" s="57">
        <v>1.2999999999999999E-2</v>
      </c>
      <c r="H1385" s="57" t="s">
        <v>195</v>
      </c>
      <c r="I1385" s="33">
        <f t="shared" si="5"/>
        <v>1.7692307692307694</v>
      </c>
    </row>
    <row r="1386" spans="1:9" x14ac:dyDescent="0.2">
      <c r="A1386" s="70">
        <v>44650</v>
      </c>
      <c r="B1386" s="57">
        <v>2364</v>
      </c>
      <c r="C1386" s="57">
        <v>3</v>
      </c>
      <c r="D1386" s="57" t="s">
        <v>192</v>
      </c>
      <c r="E1386" s="57" t="s">
        <v>60</v>
      </c>
      <c r="F1386" s="57">
        <v>0.99580000000000002</v>
      </c>
      <c r="G1386" s="57">
        <v>0.35899999999999999</v>
      </c>
      <c r="H1386" s="57" t="s">
        <v>191</v>
      </c>
      <c r="I1386" s="33">
        <f t="shared" si="5"/>
        <v>1.7738161559888581</v>
      </c>
    </row>
    <row r="1387" spans="1:9" x14ac:dyDescent="0.2">
      <c r="A1387" s="70">
        <v>44650</v>
      </c>
      <c r="B1387" s="57">
        <v>2346</v>
      </c>
      <c r="C1387" s="57">
        <v>1</v>
      </c>
      <c r="D1387" s="57" t="s">
        <v>175</v>
      </c>
      <c r="E1387" s="57">
        <v>0</v>
      </c>
      <c r="F1387" s="57">
        <v>3.3300000000000003E-2</v>
      </c>
      <c r="G1387" s="57">
        <v>1.2E-2</v>
      </c>
      <c r="H1387" s="57" t="s">
        <v>191</v>
      </c>
      <c r="I1387" s="33">
        <f t="shared" si="5"/>
        <v>1.7750000000000001</v>
      </c>
    </row>
    <row r="1388" spans="1:9" x14ac:dyDescent="0.2">
      <c r="A1388" s="70">
        <v>44650</v>
      </c>
      <c r="B1388" s="57">
        <v>2346</v>
      </c>
      <c r="C1388" s="57">
        <v>2</v>
      </c>
      <c r="D1388" s="57" t="s">
        <v>192</v>
      </c>
      <c r="E1388" s="57" t="s">
        <v>60</v>
      </c>
      <c r="F1388" s="57">
        <v>0.25590000000000002</v>
      </c>
      <c r="G1388" s="57">
        <v>9.1999999999999998E-2</v>
      </c>
      <c r="H1388" s="57" t="s">
        <v>191</v>
      </c>
      <c r="I1388" s="33">
        <f t="shared" si="5"/>
        <v>1.781521739130435</v>
      </c>
    </row>
    <row r="1389" spans="1:9" x14ac:dyDescent="0.2">
      <c r="A1389" s="70">
        <v>44650</v>
      </c>
      <c r="B1389" s="57">
        <v>2009</v>
      </c>
      <c r="C1389" s="57">
        <v>2</v>
      </c>
      <c r="D1389" s="57" t="s">
        <v>192</v>
      </c>
      <c r="E1389" s="57" t="s">
        <v>60</v>
      </c>
      <c r="F1389" s="57">
        <v>0.90849999999999997</v>
      </c>
      <c r="G1389" s="57">
        <v>0.32600000000000001</v>
      </c>
      <c r="H1389" s="57" t="s">
        <v>191</v>
      </c>
      <c r="I1389" s="33">
        <f t="shared" si="5"/>
        <v>1.7868098159509203</v>
      </c>
    </row>
    <row r="1390" spans="1:9" x14ac:dyDescent="0.2">
      <c r="A1390" s="70">
        <v>44663</v>
      </c>
      <c r="B1390" s="57">
        <v>2372</v>
      </c>
      <c r="C1390" s="57">
        <v>2</v>
      </c>
      <c r="D1390" s="57" t="s">
        <v>175</v>
      </c>
      <c r="E1390" s="57">
        <v>0</v>
      </c>
      <c r="F1390" s="57">
        <v>7.0000000000000007E-2</v>
      </c>
      <c r="G1390" s="57">
        <v>2.5000000000000001E-2</v>
      </c>
      <c r="H1390" s="57" t="s">
        <v>195</v>
      </c>
      <c r="I1390" s="33">
        <f t="shared" si="5"/>
        <v>1.8</v>
      </c>
    </row>
    <row r="1391" spans="1:9" x14ac:dyDescent="0.2">
      <c r="A1391" s="70">
        <v>44635</v>
      </c>
      <c r="B1391" s="57">
        <v>2008</v>
      </c>
      <c r="C1391" s="57">
        <v>1</v>
      </c>
      <c r="D1391" s="57" t="s">
        <v>192</v>
      </c>
      <c r="E1391" s="57">
        <v>0</v>
      </c>
      <c r="F1391" s="57">
        <v>1.7230000000000001</v>
      </c>
      <c r="G1391" s="57">
        <v>0.61399999999999999</v>
      </c>
      <c r="H1391" s="57" t="s">
        <v>194</v>
      </c>
      <c r="I1391" s="33">
        <f t="shared" si="5"/>
        <v>1.8061889250814331</v>
      </c>
    </row>
    <row r="1392" spans="1:9" x14ac:dyDescent="0.2">
      <c r="A1392" s="70">
        <v>44663</v>
      </c>
      <c r="B1392" s="57">
        <v>2348</v>
      </c>
      <c r="C1392" s="57">
        <v>2</v>
      </c>
      <c r="D1392" s="57" t="s">
        <v>175</v>
      </c>
      <c r="E1392" s="57">
        <v>0</v>
      </c>
      <c r="F1392" s="57">
        <v>4.4999999999999998E-2</v>
      </c>
      <c r="G1392" s="57">
        <v>1.6E-2</v>
      </c>
      <c r="H1392" s="57" t="s">
        <v>195</v>
      </c>
      <c r="I1392" s="33">
        <f t="shared" si="5"/>
        <v>1.8124999999999998</v>
      </c>
    </row>
    <row r="1393" spans="1:9" x14ac:dyDescent="0.2">
      <c r="A1393" s="70">
        <v>44650</v>
      </c>
      <c r="B1393" s="57">
        <v>2367</v>
      </c>
      <c r="C1393" s="57">
        <v>1</v>
      </c>
      <c r="D1393" s="57" t="s">
        <v>192</v>
      </c>
      <c r="E1393" s="57" t="s">
        <v>60</v>
      </c>
      <c r="F1393" s="57">
        <v>0.94520000000000004</v>
      </c>
      <c r="G1393" s="57">
        <v>0.33500000000000002</v>
      </c>
      <c r="H1393" s="57" t="s">
        <v>191</v>
      </c>
      <c r="I1393" s="33">
        <f t="shared" si="5"/>
        <v>1.821492537313433</v>
      </c>
    </row>
    <row r="1394" spans="1:9" x14ac:dyDescent="0.2">
      <c r="A1394" s="70">
        <v>44635</v>
      </c>
      <c r="B1394" s="57">
        <v>2384</v>
      </c>
      <c r="C1394" s="57">
        <v>1</v>
      </c>
      <c r="D1394" s="57" t="s">
        <v>192</v>
      </c>
      <c r="E1394" s="57">
        <v>0</v>
      </c>
      <c r="F1394" s="57">
        <v>1.55</v>
      </c>
      <c r="G1394" s="57">
        <v>0.54900000000000004</v>
      </c>
      <c r="H1394" s="57" t="s">
        <v>194</v>
      </c>
      <c r="I1394" s="33">
        <f t="shared" si="5"/>
        <v>1.8233151183970853</v>
      </c>
    </row>
    <row r="1395" spans="1:9" x14ac:dyDescent="0.2">
      <c r="A1395" s="70">
        <v>44663</v>
      </c>
      <c r="B1395" s="57">
        <v>2009</v>
      </c>
      <c r="C1395" s="57">
        <v>2</v>
      </c>
      <c r="D1395" s="57" t="s">
        <v>175</v>
      </c>
      <c r="E1395" s="57">
        <v>0</v>
      </c>
      <c r="F1395" s="57">
        <v>6.5000000000000002E-2</v>
      </c>
      <c r="G1395" s="57">
        <v>2.3E-2</v>
      </c>
      <c r="H1395" s="57" t="s">
        <v>195</v>
      </c>
      <c r="I1395" s="33">
        <f t="shared" si="5"/>
        <v>1.8260869565217392</v>
      </c>
    </row>
    <row r="1396" spans="1:9" x14ac:dyDescent="0.2">
      <c r="A1396" s="70">
        <v>44665</v>
      </c>
      <c r="B1396" s="57">
        <v>2028</v>
      </c>
      <c r="C1396" s="57">
        <v>1</v>
      </c>
      <c r="D1396" s="57" t="s">
        <v>175</v>
      </c>
      <c r="E1396" s="57">
        <v>0</v>
      </c>
      <c r="F1396" s="57">
        <v>4.9799999999999997E-2</v>
      </c>
      <c r="G1396" s="57">
        <v>1.7600000000000001E-2</v>
      </c>
      <c r="H1396" s="57" t="s">
        <v>191</v>
      </c>
      <c r="I1396" s="33">
        <f t="shared" si="5"/>
        <v>1.8295454545454539</v>
      </c>
    </row>
    <row r="1397" spans="1:9" x14ac:dyDescent="0.2">
      <c r="A1397" s="70">
        <v>44665</v>
      </c>
      <c r="B1397" s="57">
        <v>1478</v>
      </c>
      <c r="C1397" s="57">
        <v>1</v>
      </c>
      <c r="D1397" s="57" t="s">
        <v>175</v>
      </c>
      <c r="E1397" s="57">
        <v>0</v>
      </c>
      <c r="F1397" s="57">
        <v>0.26119999999999999</v>
      </c>
      <c r="G1397" s="57">
        <v>9.1800000000000007E-2</v>
      </c>
      <c r="H1397" s="57" t="s">
        <v>191</v>
      </c>
      <c r="I1397" s="33">
        <f t="shared" si="5"/>
        <v>1.8453159041394334</v>
      </c>
    </row>
    <row r="1398" spans="1:9" x14ac:dyDescent="0.2">
      <c r="A1398" s="70">
        <v>44635</v>
      </c>
      <c r="B1398" s="57">
        <v>2004</v>
      </c>
      <c r="C1398" s="57">
        <v>1</v>
      </c>
      <c r="D1398" s="57" t="s">
        <v>192</v>
      </c>
      <c r="E1398" s="57">
        <v>0</v>
      </c>
      <c r="F1398" s="57">
        <v>2.0209999999999999</v>
      </c>
      <c r="G1398" s="57">
        <v>0.70699999999999996</v>
      </c>
      <c r="H1398" s="57" t="s">
        <v>194</v>
      </c>
      <c r="I1398" s="33">
        <f t="shared" si="5"/>
        <v>1.8585572842998588</v>
      </c>
    </row>
    <row r="1399" spans="1:9" x14ac:dyDescent="0.2">
      <c r="A1399" s="70">
        <v>44650</v>
      </c>
      <c r="B1399" s="57">
        <v>2343</v>
      </c>
      <c r="C1399" s="57">
        <v>3</v>
      </c>
      <c r="D1399" s="57" t="s">
        <v>192</v>
      </c>
      <c r="E1399" s="57" t="s">
        <v>60</v>
      </c>
      <c r="F1399" s="57">
        <v>0.3604</v>
      </c>
      <c r="G1399" s="57">
        <v>0.126</v>
      </c>
      <c r="H1399" s="57" t="s">
        <v>191</v>
      </c>
      <c r="I1399" s="33">
        <f t="shared" si="5"/>
        <v>1.8603174603174604</v>
      </c>
    </row>
    <row r="1400" spans="1:9" x14ac:dyDescent="0.2">
      <c r="A1400" s="70">
        <v>44650</v>
      </c>
      <c r="B1400" s="57">
        <v>2378</v>
      </c>
      <c r="C1400" s="57">
        <v>3</v>
      </c>
      <c r="D1400" s="57" t="s">
        <v>175</v>
      </c>
      <c r="E1400" s="57">
        <v>0</v>
      </c>
      <c r="F1400" s="57">
        <v>4.2999999999999997E-2</v>
      </c>
      <c r="G1400" s="57">
        <v>1.4999999999999999E-2</v>
      </c>
      <c r="H1400" s="57" t="s">
        <v>191</v>
      </c>
      <c r="I1400" s="33">
        <f t="shared" si="5"/>
        <v>1.8666666666666665</v>
      </c>
    </row>
    <row r="1401" spans="1:9" x14ac:dyDescent="0.2">
      <c r="A1401" s="70">
        <v>44662</v>
      </c>
      <c r="B1401" s="57">
        <v>2092</v>
      </c>
      <c r="C1401" s="57">
        <v>2</v>
      </c>
      <c r="D1401" s="57" t="s">
        <v>175</v>
      </c>
      <c r="E1401" s="57">
        <v>0</v>
      </c>
      <c r="F1401" s="57">
        <v>8.1600000000000006E-2</v>
      </c>
      <c r="G1401" s="57">
        <v>2.8299999999999999E-2</v>
      </c>
      <c r="H1401" s="57" t="s">
        <v>191</v>
      </c>
      <c r="I1401" s="33">
        <f t="shared" si="5"/>
        <v>1.8833922261484102</v>
      </c>
    </row>
    <row r="1402" spans="1:9" x14ac:dyDescent="0.2">
      <c r="A1402" s="70">
        <v>44663</v>
      </c>
      <c r="B1402" s="57">
        <v>2370</v>
      </c>
      <c r="C1402" s="57">
        <v>1</v>
      </c>
      <c r="D1402" s="57" t="s">
        <v>175</v>
      </c>
      <c r="E1402" s="57">
        <v>0</v>
      </c>
      <c r="F1402" s="57">
        <v>0.13</v>
      </c>
      <c r="G1402" s="57">
        <v>4.4999999999999998E-2</v>
      </c>
      <c r="H1402" s="57" t="s">
        <v>195</v>
      </c>
      <c r="I1402" s="33">
        <f t="shared" si="5"/>
        <v>1.8888888888888891</v>
      </c>
    </row>
    <row r="1403" spans="1:9" x14ac:dyDescent="0.2">
      <c r="A1403" s="70">
        <v>44650</v>
      </c>
      <c r="B1403" s="57">
        <v>2346</v>
      </c>
      <c r="C1403" s="57">
        <v>1</v>
      </c>
      <c r="D1403" s="57" t="s">
        <v>192</v>
      </c>
      <c r="E1403" s="57" t="s">
        <v>60</v>
      </c>
      <c r="F1403" s="57">
        <v>0.59319999999999995</v>
      </c>
      <c r="G1403" s="57">
        <v>0.20499999999999999</v>
      </c>
      <c r="H1403" s="57" t="s">
        <v>191</v>
      </c>
      <c r="I1403" s="33">
        <f t="shared" si="5"/>
        <v>1.893658536585366</v>
      </c>
    </row>
    <row r="1404" spans="1:9" x14ac:dyDescent="0.2">
      <c r="A1404" s="70">
        <v>44662</v>
      </c>
      <c r="B1404" s="57">
        <v>2093</v>
      </c>
      <c r="C1404" s="57">
        <v>2</v>
      </c>
      <c r="D1404" s="57" t="s">
        <v>175</v>
      </c>
      <c r="E1404" s="57">
        <v>0</v>
      </c>
      <c r="F1404" s="57">
        <v>9.5299999999999996E-2</v>
      </c>
      <c r="G1404" s="57">
        <v>3.2899999999999999E-2</v>
      </c>
      <c r="H1404" s="57" t="s">
        <v>191</v>
      </c>
      <c r="I1404" s="33">
        <f t="shared" si="5"/>
        <v>1.8966565349544073</v>
      </c>
    </row>
    <row r="1405" spans="1:9" x14ac:dyDescent="0.2">
      <c r="A1405" s="70">
        <v>44665</v>
      </c>
      <c r="B1405" s="57">
        <v>2013</v>
      </c>
      <c r="C1405" s="57">
        <v>1</v>
      </c>
      <c r="D1405" s="57" t="s">
        <v>175</v>
      </c>
      <c r="E1405" s="57">
        <v>0</v>
      </c>
      <c r="F1405" s="57">
        <v>0.10730000000000001</v>
      </c>
      <c r="G1405" s="57">
        <v>3.6999999999999998E-2</v>
      </c>
      <c r="H1405" s="57" t="s">
        <v>191</v>
      </c>
      <c r="I1405" s="33">
        <f t="shared" si="5"/>
        <v>1.9000000000000001</v>
      </c>
    </row>
    <row r="1406" spans="1:9" x14ac:dyDescent="0.2">
      <c r="A1406" s="70">
        <v>44663</v>
      </c>
      <c r="B1406" s="57">
        <v>2354</v>
      </c>
      <c r="C1406" s="57">
        <v>3</v>
      </c>
      <c r="D1406" s="57" t="s">
        <v>175</v>
      </c>
      <c r="E1406" s="57">
        <v>0</v>
      </c>
      <c r="F1406" s="57">
        <v>2.9000000000000001E-2</v>
      </c>
      <c r="G1406" s="57">
        <v>0.01</v>
      </c>
      <c r="H1406" s="57" t="s">
        <v>195</v>
      </c>
      <c r="I1406" s="33">
        <f t="shared" si="5"/>
        <v>1.9000000000000004</v>
      </c>
    </row>
    <row r="1407" spans="1:9" x14ac:dyDescent="0.2">
      <c r="A1407" s="70">
        <v>44665</v>
      </c>
      <c r="B1407" s="57">
        <v>2351</v>
      </c>
      <c r="C1407" s="57">
        <v>1</v>
      </c>
      <c r="D1407" s="57" t="s">
        <v>175</v>
      </c>
      <c r="E1407" s="57">
        <v>0</v>
      </c>
      <c r="F1407" s="57">
        <v>9.3799999999999994E-2</v>
      </c>
      <c r="G1407" s="57">
        <v>3.2300000000000002E-2</v>
      </c>
      <c r="H1407" s="57" t="s">
        <v>191</v>
      </c>
      <c r="I1407" s="33">
        <f t="shared" si="5"/>
        <v>1.9040247678018571</v>
      </c>
    </row>
    <row r="1408" spans="1:9" x14ac:dyDescent="0.2">
      <c r="A1408" s="70">
        <v>44663</v>
      </c>
      <c r="B1408" s="57">
        <v>2349</v>
      </c>
      <c r="C1408" s="57">
        <v>1</v>
      </c>
      <c r="D1408" s="57" t="s">
        <v>175</v>
      </c>
      <c r="E1408" s="57">
        <v>0</v>
      </c>
      <c r="F1408" s="57">
        <v>3.2000000000000001E-2</v>
      </c>
      <c r="G1408" s="57">
        <v>1.0999999999999999E-2</v>
      </c>
      <c r="H1408" s="57" t="s">
        <v>195</v>
      </c>
      <c r="I1408" s="33">
        <f t="shared" si="5"/>
        <v>1.9090909090909094</v>
      </c>
    </row>
    <row r="1409" spans="1:9" x14ac:dyDescent="0.2">
      <c r="A1409" s="70">
        <v>44662</v>
      </c>
      <c r="B1409" s="57">
        <v>2091</v>
      </c>
      <c r="C1409" s="57">
        <v>1</v>
      </c>
      <c r="D1409" s="57" t="s">
        <v>175</v>
      </c>
      <c r="E1409" s="57">
        <v>0</v>
      </c>
      <c r="F1409" s="57">
        <v>6.2300000000000001E-2</v>
      </c>
      <c r="G1409" s="57">
        <v>2.1399999999999999E-2</v>
      </c>
      <c r="H1409" s="57" t="s">
        <v>191</v>
      </c>
      <c r="I1409" s="33">
        <f t="shared" si="5"/>
        <v>1.9112149532710283</v>
      </c>
    </row>
    <row r="1410" spans="1:9" x14ac:dyDescent="0.2">
      <c r="A1410" s="70">
        <v>44663</v>
      </c>
      <c r="B1410" s="57">
        <v>2354</v>
      </c>
      <c r="C1410" s="57">
        <v>2</v>
      </c>
      <c r="D1410" s="57" t="s">
        <v>175</v>
      </c>
      <c r="E1410" s="57">
        <v>0</v>
      </c>
      <c r="F1410" s="57">
        <v>3.7999999999999999E-2</v>
      </c>
      <c r="G1410" s="57">
        <v>1.2999999999999999E-2</v>
      </c>
      <c r="H1410" s="57" t="s">
        <v>195</v>
      </c>
      <c r="I1410" s="33">
        <f t="shared" si="5"/>
        <v>1.9230769230769234</v>
      </c>
    </row>
    <row r="1411" spans="1:9" x14ac:dyDescent="0.2">
      <c r="A1411" s="70">
        <v>44650</v>
      </c>
      <c r="B1411" s="57">
        <v>2347</v>
      </c>
      <c r="C1411" s="57">
        <v>1</v>
      </c>
      <c r="D1411" s="57" t="s">
        <v>192</v>
      </c>
      <c r="E1411" s="57" t="s">
        <v>60</v>
      </c>
      <c r="F1411" s="57">
        <v>1.6727000000000001</v>
      </c>
      <c r="G1411" s="57">
        <v>0.57199999999999995</v>
      </c>
      <c r="H1411" s="57" t="s">
        <v>191</v>
      </c>
      <c r="I1411" s="33">
        <f t="shared" si="5"/>
        <v>1.9243006993006999</v>
      </c>
    </row>
    <row r="1412" spans="1:9" x14ac:dyDescent="0.2">
      <c r="A1412" s="70">
        <v>44650</v>
      </c>
      <c r="B1412" s="57">
        <v>2343</v>
      </c>
      <c r="C1412" s="57">
        <v>3</v>
      </c>
      <c r="D1412" s="57" t="s">
        <v>175</v>
      </c>
      <c r="E1412" s="57">
        <v>0</v>
      </c>
      <c r="F1412" s="57">
        <v>3.8199999999999998E-2</v>
      </c>
      <c r="G1412" s="57">
        <v>1.2999999999999999E-2</v>
      </c>
      <c r="H1412" s="57" t="s">
        <v>191</v>
      </c>
      <c r="I1412" s="33">
        <f t="shared" si="5"/>
        <v>1.9384615384615385</v>
      </c>
    </row>
    <row r="1413" spans="1:9" x14ac:dyDescent="0.2">
      <c r="A1413" s="70">
        <v>44650</v>
      </c>
      <c r="B1413" s="57">
        <v>2346</v>
      </c>
      <c r="C1413" s="57">
        <v>3</v>
      </c>
      <c r="D1413" s="57" t="s">
        <v>175</v>
      </c>
      <c r="E1413" s="57">
        <v>0</v>
      </c>
      <c r="F1413" s="57">
        <v>5.8999999999999999E-3</v>
      </c>
      <c r="G1413" s="57">
        <v>2E-3</v>
      </c>
      <c r="H1413" s="57" t="s">
        <v>191</v>
      </c>
      <c r="I1413" s="33">
        <f t="shared" si="5"/>
        <v>1.95</v>
      </c>
    </row>
    <row r="1414" spans="1:9" x14ac:dyDescent="0.2">
      <c r="A1414" s="70">
        <v>44650</v>
      </c>
      <c r="B1414" s="57">
        <v>2369</v>
      </c>
      <c r="C1414" s="57">
        <v>3</v>
      </c>
      <c r="D1414" s="57" t="s">
        <v>175</v>
      </c>
      <c r="E1414" s="57">
        <v>0</v>
      </c>
      <c r="F1414" s="57">
        <v>1.77E-2</v>
      </c>
      <c r="G1414" s="57">
        <v>6.0000000000000001E-3</v>
      </c>
      <c r="H1414" s="57" t="s">
        <v>191</v>
      </c>
      <c r="I1414" s="33">
        <f t="shared" si="5"/>
        <v>1.95</v>
      </c>
    </row>
    <row r="1415" spans="1:9" x14ac:dyDescent="0.2">
      <c r="A1415" s="70">
        <v>44650</v>
      </c>
      <c r="B1415" s="57">
        <v>2009</v>
      </c>
      <c r="C1415" s="57">
        <v>2</v>
      </c>
      <c r="D1415" s="57" t="s">
        <v>175</v>
      </c>
      <c r="E1415" s="57">
        <v>0</v>
      </c>
      <c r="F1415" s="57">
        <v>6.4899999999999999E-2</v>
      </c>
      <c r="G1415" s="57">
        <v>2.1999999999999999E-2</v>
      </c>
      <c r="H1415" s="57" t="s">
        <v>191</v>
      </c>
      <c r="I1415" s="33">
        <f t="shared" si="5"/>
        <v>1.9500000000000002</v>
      </c>
    </row>
    <row r="1416" spans="1:9" x14ac:dyDescent="0.2">
      <c r="A1416" s="70">
        <v>44650</v>
      </c>
      <c r="B1416" s="57">
        <v>2343</v>
      </c>
      <c r="C1416" s="57">
        <v>2</v>
      </c>
      <c r="D1416" s="57" t="s">
        <v>175</v>
      </c>
      <c r="E1416" s="57">
        <v>0</v>
      </c>
      <c r="F1416" s="57">
        <v>0.1298</v>
      </c>
      <c r="G1416" s="57">
        <v>4.3999999999999997E-2</v>
      </c>
      <c r="H1416" s="57" t="s">
        <v>191</v>
      </c>
      <c r="I1416" s="33">
        <f t="shared" si="5"/>
        <v>1.9500000000000002</v>
      </c>
    </row>
    <row r="1417" spans="1:9" x14ac:dyDescent="0.2">
      <c r="A1417" s="70">
        <v>44663</v>
      </c>
      <c r="B1417" s="57">
        <v>2351</v>
      </c>
      <c r="C1417" s="57">
        <v>2</v>
      </c>
      <c r="D1417" s="57" t="s">
        <v>192</v>
      </c>
      <c r="E1417" s="57">
        <v>0</v>
      </c>
      <c r="F1417" s="57">
        <v>1.036</v>
      </c>
      <c r="G1417" s="57">
        <v>0.35099999999999998</v>
      </c>
      <c r="H1417" s="57" t="s">
        <v>195</v>
      </c>
      <c r="I1417" s="33">
        <f t="shared" si="5"/>
        <v>1.9515669515669518</v>
      </c>
    </row>
    <row r="1418" spans="1:9" x14ac:dyDescent="0.2">
      <c r="A1418" s="70">
        <v>44663</v>
      </c>
      <c r="B1418" s="57">
        <v>2348</v>
      </c>
      <c r="C1418" s="57">
        <v>1</v>
      </c>
      <c r="D1418" s="57" t="s">
        <v>175</v>
      </c>
      <c r="E1418" s="57">
        <v>0</v>
      </c>
      <c r="F1418" s="57">
        <v>0.08</v>
      </c>
      <c r="G1418" s="57">
        <v>2.7E-2</v>
      </c>
      <c r="H1418" s="57" t="s">
        <v>195</v>
      </c>
      <c r="I1418" s="33">
        <f t="shared" si="5"/>
        <v>1.9629629629629632</v>
      </c>
    </row>
    <row r="1419" spans="1:9" x14ac:dyDescent="0.2">
      <c r="A1419" s="70">
        <v>44650</v>
      </c>
      <c r="B1419" s="57">
        <v>2372</v>
      </c>
      <c r="C1419" s="57">
        <v>1</v>
      </c>
      <c r="D1419" s="57" t="s">
        <v>192</v>
      </c>
      <c r="E1419" s="57" t="s">
        <v>60</v>
      </c>
      <c r="F1419" s="57">
        <v>0.76380000000000003</v>
      </c>
      <c r="G1419" s="57">
        <v>0.25700000000000001</v>
      </c>
      <c r="H1419" s="57" t="s">
        <v>191</v>
      </c>
      <c r="I1419" s="33">
        <f t="shared" si="5"/>
        <v>1.9719844357976655</v>
      </c>
    </row>
    <row r="1420" spans="1:9" x14ac:dyDescent="0.2">
      <c r="A1420" s="70">
        <v>44650</v>
      </c>
      <c r="B1420" s="57">
        <v>2375</v>
      </c>
      <c r="C1420" s="57">
        <v>3</v>
      </c>
      <c r="D1420" s="57" t="s">
        <v>175</v>
      </c>
      <c r="E1420" s="57" t="s">
        <v>60</v>
      </c>
      <c r="F1420" s="57">
        <v>7.4800000000000005E-2</v>
      </c>
      <c r="G1420" s="57">
        <v>2.5000000000000001E-2</v>
      </c>
      <c r="H1420" s="57" t="s">
        <v>191</v>
      </c>
      <c r="I1420" s="33">
        <f t="shared" si="5"/>
        <v>1.992</v>
      </c>
    </row>
    <row r="1421" spans="1:9" x14ac:dyDescent="0.2">
      <c r="A1421" s="70">
        <v>44650</v>
      </c>
      <c r="B1421" s="57">
        <v>2346</v>
      </c>
      <c r="C1421" s="57">
        <v>3</v>
      </c>
      <c r="D1421" s="57" t="s">
        <v>192</v>
      </c>
      <c r="E1421" s="57" t="s">
        <v>60</v>
      </c>
      <c r="F1421" s="57">
        <v>0.18279999999999999</v>
      </c>
      <c r="G1421" s="57">
        <v>6.0999999999999999E-2</v>
      </c>
      <c r="H1421" s="57" t="s">
        <v>191</v>
      </c>
      <c r="I1421" s="33">
        <f t="shared" si="5"/>
        <v>1.9967213114754097</v>
      </c>
    </row>
    <row r="1422" spans="1:9" x14ac:dyDescent="0.2">
      <c r="A1422" s="70">
        <v>44662</v>
      </c>
      <c r="B1422" s="57">
        <v>2089</v>
      </c>
      <c r="C1422" s="57">
        <v>2</v>
      </c>
      <c r="D1422" s="57" t="s">
        <v>175</v>
      </c>
      <c r="E1422" s="57">
        <v>0</v>
      </c>
      <c r="F1422" s="57">
        <v>5.8200000000000002E-2</v>
      </c>
      <c r="G1422" s="57">
        <v>1.9400000000000001E-2</v>
      </c>
      <c r="H1422" s="57" t="s">
        <v>191</v>
      </c>
      <c r="I1422" s="33">
        <f t="shared" si="5"/>
        <v>2</v>
      </c>
    </row>
    <row r="1423" spans="1:9" x14ac:dyDescent="0.2">
      <c r="A1423" s="70">
        <v>44663</v>
      </c>
      <c r="B1423" s="57">
        <v>2347</v>
      </c>
      <c r="C1423" s="57">
        <v>3</v>
      </c>
      <c r="D1423" s="57" t="s">
        <v>175</v>
      </c>
      <c r="E1423" s="57">
        <v>0</v>
      </c>
      <c r="F1423" s="57">
        <v>2.1000000000000001E-2</v>
      </c>
      <c r="G1423" s="57">
        <v>7.0000000000000001E-3</v>
      </c>
      <c r="H1423" s="57" t="s">
        <v>195</v>
      </c>
      <c r="I1423" s="33">
        <f t="shared" si="5"/>
        <v>2.0000000000000004</v>
      </c>
    </row>
    <row r="1424" spans="1:9" x14ac:dyDescent="0.2">
      <c r="A1424" s="70">
        <v>44650</v>
      </c>
      <c r="B1424" s="57">
        <v>2347</v>
      </c>
      <c r="C1424" s="57">
        <v>3</v>
      </c>
      <c r="D1424" s="57" t="s">
        <v>192</v>
      </c>
      <c r="E1424" s="57" t="s">
        <v>60</v>
      </c>
      <c r="F1424" s="57">
        <v>1.1916</v>
      </c>
      <c r="G1424" s="57">
        <v>0.39700000000000002</v>
      </c>
      <c r="H1424" s="57" t="s">
        <v>191</v>
      </c>
      <c r="I1424" s="33">
        <f t="shared" si="5"/>
        <v>2.0015113350125944</v>
      </c>
    </row>
    <row r="1425" spans="1:9" x14ac:dyDescent="0.2">
      <c r="A1425" s="70">
        <v>44650</v>
      </c>
      <c r="B1425" s="57">
        <v>2009</v>
      </c>
      <c r="C1425" s="57">
        <v>3</v>
      </c>
      <c r="D1425" s="57" t="s">
        <v>175</v>
      </c>
      <c r="E1425" s="57">
        <v>0</v>
      </c>
      <c r="F1425" s="57">
        <v>7.8399999999999997E-2</v>
      </c>
      <c r="G1425" s="57">
        <v>2.5999999999999999E-2</v>
      </c>
      <c r="H1425" s="57" t="s">
        <v>191</v>
      </c>
      <c r="I1425" s="33">
        <f t="shared" si="5"/>
        <v>2.0153846153846158</v>
      </c>
    </row>
    <row r="1426" spans="1:9" x14ac:dyDescent="0.2">
      <c r="A1426" s="70">
        <v>44665</v>
      </c>
      <c r="B1426" s="57">
        <v>2350</v>
      </c>
      <c r="C1426" s="57">
        <v>1</v>
      </c>
      <c r="D1426" s="57" t="s">
        <v>192</v>
      </c>
      <c r="E1426" s="57">
        <v>0</v>
      </c>
      <c r="F1426" s="57">
        <v>4.7E-2</v>
      </c>
      <c r="G1426" s="57">
        <v>1.55E-2</v>
      </c>
      <c r="H1426" s="57" t="s">
        <v>191</v>
      </c>
      <c r="I1426" s="33">
        <f t="shared" si="5"/>
        <v>2.032258064516129</v>
      </c>
    </row>
    <row r="1427" spans="1:9" x14ac:dyDescent="0.2">
      <c r="A1427" s="70">
        <v>44650</v>
      </c>
      <c r="B1427" s="57">
        <v>2372</v>
      </c>
      <c r="C1427" s="57">
        <v>2</v>
      </c>
      <c r="D1427" s="57" t="s">
        <v>192</v>
      </c>
      <c r="E1427" s="57" t="s">
        <v>60</v>
      </c>
      <c r="F1427" s="57">
        <v>0.88849999999999996</v>
      </c>
      <c r="G1427" s="57">
        <v>0.29199999999999998</v>
      </c>
      <c r="H1427" s="57" t="s">
        <v>191</v>
      </c>
      <c r="I1427" s="33">
        <f t="shared" si="5"/>
        <v>2.0428082191780823</v>
      </c>
    </row>
    <row r="1428" spans="1:9" x14ac:dyDescent="0.2">
      <c r="A1428" s="70">
        <v>44650</v>
      </c>
      <c r="B1428" s="57">
        <v>2009</v>
      </c>
      <c r="C1428" s="57">
        <v>1</v>
      </c>
      <c r="D1428" s="57" t="s">
        <v>175</v>
      </c>
      <c r="E1428" s="57">
        <v>0</v>
      </c>
      <c r="F1428" s="57">
        <v>4.5999999999999999E-2</v>
      </c>
      <c r="G1428" s="57">
        <v>1.4999999999999999E-2</v>
      </c>
      <c r="H1428" s="57" t="s">
        <v>191</v>
      </c>
      <c r="I1428" s="33">
        <f t="shared" si="5"/>
        <v>2.0666666666666669</v>
      </c>
    </row>
    <row r="1429" spans="1:9" x14ac:dyDescent="0.2">
      <c r="A1429" s="70">
        <v>44650</v>
      </c>
      <c r="B1429" s="57">
        <v>2364</v>
      </c>
      <c r="C1429" s="57">
        <v>3</v>
      </c>
      <c r="D1429" s="57" t="s">
        <v>175</v>
      </c>
      <c r="E1429" s="57">
        <v>0</v>
      </c>
      <c r="F1429" s="57">
        <v>7.6999999999999999E-2</v>
      </c>
      <c r="G1429" s="57">
        <v>2.5000000000000001E-2</v>
      </c>
      <c r="H1429" s="57" t="s">
        <v>191</v>
      </c>
      <c r="I1429" s="33">
        <f t="shared" si="5"/>
        <v>2.0799999999999996</v>
      </c>
    </row>
    <row r="1430" spans="1:9" x14ac:dyDescent="0.2">
      <c r="A1430" s="70">
        <v>44665</v>
      </c>
      <c r="B1430" s="57">
        <v>2380</v>
      </c>
      <c r="C1430" s="57">
        <v>1</v>
      </c>
      <c r="D1430" s="57" t="s">
        <v>175</v>
      </c>
      <c r="E1430" s="57">
        <v>0</v>
      </c>
      <c r="F1430" s="57">
        <v>5.6500000000000002E-2</v>
      </c>
      <c r="G1430" s="57">
        <v>1.83E-2</v>
      </c>
      <c r="H1430" s="57" t="s">
        <v>191</v>
      </c>
      <c r="I1430" s="33">
        <f t="shared" si="5"/>
        <v>2.0874316939890707</v>
      </c>
    </row>
    <row r="1431" spans="1:9" x14ac:dyDescent="0.2">
      <c r="A1431" s="70">
        <v>44663</v>
      </c>
      <c r="B1431" s="57">
        <v>2331</v>
      </c>
      <c r="C1431" s="57">
        <v>1</v>
      </c>
      <c r="D1431" s="57" t="s">
        <v>175</v>
      </c>
      <c r="E1431" s="57">
        <v>0</v>
      </c>
      <c r="F1431" s="57">
        <v>3.4000000000000002E-2</v>
      </c>
      <c r="G1431" s="57">
        <v>1.0999999999999999E-2</v>
      </c>
      <c r="H1431" s="57" t="s">
        <v>195</v>
      </c>
      <c r="I1431" s="33">
        <f t="shared" si="5"/>
        <v>2.0909090909090913</v>
      </c>
    </row>
    <row r="1432" spans="1:9" x14ac:dyDescent="0.2">
      <c r="A1432" s="70">
        <v>44663</v>
      </c>
      <c r="B1432" s="57">
        <v>2351</v>
      </c>
      <c r="C1432" s="57">
        <v>2</v>
      </c>
      <c r="D1432" s="57" t="s">
        <v>175</v>
      </c>
      <c r="E1432" s="57">
        <v>0</v>
      </c>
      <c r="F1432" s="57">
        <v>0.11799999999999999</v>
      </c>
      <c r="G1432" s="57">
        <v>3.7999999999999999E-2</v>
      </c>
      <c r="H1432" s="57" t="s">
        <v>195</v>
      </c>
      <c r="I1432" s="33">
        <f t="shared" si="5"/>
        <v>2.1052631578947367</v>
      </c>
    </row>
    <row r="1433" spans="1:9" x14ac:dyDescent="0.2">
      <c r="A1433" s="70">
        <v>44665</v>
      </c>
      <c r="B1433" s="57">
        <v>2350</v>
      </c>
      <c r="C1433" s="57">
        <v>1</v>
      </c>
      <c r="D1433" s="57" t="s">
        <v>175</v>
      </c>
      <c r="E1433" s="57">
        <v>0</v>
      </c>
      <c r="F1433" s="57">
        <v>0.45119999999999999</v>
      </c>
      <c r="G1433" s="57">
        <v>0.14510000000000001</v>
      </c>
      <c r="H1433" s="57" t="s">
        <v>191</v>
      </c>
      <c r="I1433" s="33">
        <f t="shared" si="5"/>
        <v>2.1095796002756719</v>
      </c>
    </row>
    <row r="1434" spans="1:9" x14ac:dyDescent="0.2">
      <c r="A1434" s="70">
        <v>44650</v>
      </c>
      <c r="B1434" s="57">
        <v>2367</v>
      </c>
      <c r="C1434" s="57">
        <v>1</v>
      </c>
      <c r="D1434" s="57" t="s">
        <v>175</v>
      </c>
      <c r="E1434" s="57">
        <v>0</v>
      </c>
      <c r="F1434" s="57">
        <v>0.10009999999999999</v>
      </c>
      <c r="G1434" s="57">
        <v>3.2000000000000001E-2</v>
      </c>
      <c r="H1434" s="57" t="s">
        <v>191</v>
      </c>
      <c r="I1434" s="33">
        <f t="shared" si="5"/>
        <v>2.1281249999999998</v>
      </c>
    </row>
    <row r="1435" spans="1:9" x14ac:dyDescent="0.2">
      <c r="A1435" s="70">
        <v>44650</v>
      </c>
      <c r="B1435" s="57">
        <v>2360</v>
      </c>
      <c r="C1435" s="57">
        <v>2</v>
      </c>
      <c r="D1435" s="57" t="s">
        <v>175</v>
      </c>
      <c r="E1435" s="57">
        <v>0</v>
      </c>
      <c r="F1435" s="57">
        <v>9.7000000000000003E-2</v>
      </c>
      <c r="G1435" s="57">
        <v>3.1E-2</v>
      </c>
      <c r="H1435" s="57" t="s">
        <v>191</v>
      </c>
      <c r="I1435" s="33">
        <f t="shared" si="5"/>
        <v>2.1290322580645165</v>
      </c>
    </row>
    <row r="1436" spans="1:9" x14ac:dyDescent="0.2">
      <c r="A1436" s="70">
        <v>44690</v>
      </c>
      <c r="B1436" s="57">
        <v>2090</v>
      </c>
      <c r="C1436" s="57">
        <v>1</v>
      </c>
      <c r="D1436" s="57" t="s">
        <v>175</v>
      </c>
      <c r="E1436" s="57">
        <v>1</v>
      </c>
      <c r="F1436" s="57">
        <v>0.1676</v>
      </c>
      <c r="G1436" s="72">
        <v>5.2999999999999999E-2</v>
      </c>
      <c r="I1436" s="33">
        <f t="shared" si="5"/>
        <v>2.1622641509433964</v>
      </c>
    </row>
    <row r="1437" spans="1:9" x14ac:dyDescent="0.2">
      <c r="A1437" s="70">
        <v>44663</v>
      </c>
      <c r="B1437" s="57">
        <v>2354</v>
      </c>
      <c r="C1437" s="57">
        <v>1</v>
      </c>
      <c r="D1437" s="57" t="s">
        <v>175</v>
      </c>
      <c r="E1437" s="57">
        <v>0</v>
      </c>
      <c r="F1437" s="57">
        <v>3.7999999999999999E-2</v>
      </c>
      <c r="G1437" s="57">
        <v>1.2E-2</v>
      </c>
      <c r="H1437" s="57" t="s">
        <v>195</v>
      </c>
      <c r="I1437" s="33">
        <f t="shared" si="5"/>
        <v>2.1666666666666665</v>
      </c>
    </row>
    <row r="1438" spans="1:9" x14ac:dyDescent="0.2">
      <c r="A1438" s="70">
        <v>44663</v>
      </c>
      <c r="B1438" s="57">
        <v>2351</v>
      </c>
      <c r="C1438" s="57">
        <v>3</v>
      </c>
      <c r="D1438" s="57" t="s">
        <v>175</v>
      </c>
      <c r="E1438" s="57">
        <v>0</v>
      </c>
      <c r="F1438" s="57">
        <v>7.0000000000000007E-2</v>
      </c>
      <c r="G1438" s="57">
        <v>2.1999999999999999E-2</v>
      </c>
      <c r="H1438" s="57" t="s">
        <v>195</v>
      </c>
      <c r="I1438" s="33">
        <f t="shared" si="5"/>
        <v>2.1818181818181821</v>
      </c>
    </row>
    <row r="1439" spans="1:9" x14ac:dyDescent="0.2">
      <c r="A1439" s="70">
        <v>44650</v>
      </c>
      <c r="B1439" s="57">
        <v>2347</v>
      </c>
      <c r="C1439" s="57">
        <v>1</v>
      </c>
      <c r="D1439" s="57" t="s">
        <v>175</v>
      </c>
      <c r="E1439" s="57">
        <v>0</v>
      </c>
      <c r="F1439" s="57">
        <v>0.16250000000000001</v>
      </c>
      <c r="G1439" s="57">
        <v>5.0999999999999997E-2</v>
      </c>
      <c r="H1439" s="57" t="s">
        <v>191</v>
      </c>
      <c r="I1439" s="33">
        <f t="shared" si="5"/>
        <v>2.1862745098039222</v>
      </c>
    </row>
    <row r="1440" spans="1:9" x14ac:dyDescent="0.2">
      <c r="A1440" s="70">
        <v>44662</v>
      </c>
      <c r="B1440" s="57">
        <v>2089</v>
      </c>
      <c r="C1440" s="57">
        <v>2</v>
      </c>
      <c r="D1440" s="57" t="s">
        <v>175</v>
      </c>
      <c r="E1440" s="57">
        <v>0</v>
      </c>
      <c r="F1440" s="57">
        <v>4.2599999999999999E-2</v>
      </c>
      <c r="G1440" s="57">
        <v>1.3299999999999999E-2</v>
      </c>
      <c r="H1440" s="57" t="s">
        <v>191</v>
      </c>
      <c r="I1440" s="33">
        <f t="shared" si="5"/>
        <v>2.2030075187969924</v>
      </c>
    </row>
    <row r="1441" spans="1:9" x14ac:dyDescent="0.2">
      <c r="A1441" s="70">
        <v>44650</v>
      </c>
      <c r="B1441" s="57">
        <v>2375</v>
      </c>
      <c r="C1441" s="57">
        <v>2</v>
      </c>
      <c r="D1441" s="57" t="s">
        <v>175</v>
      </c>
      <c r="E1441" s="57">
        <v>0</v>
      </c>
      <c r="F1441" s="57">
        <v>4.5100000000000001E-2</v>
      </c>
      <c r="G1441" s="57">
        <v>1.4E-2</v>
      </c>
      <c r="H1441" s="57" t="s">
        <v>191</v>
      </c>
      <c r="I1441" s="33">
        <f t="shared" si="5"/>
        <v>2.2214285714285715</v>
      </c>
    </row>
    <row r="1442" spans="1:9" x14ac:dyDescent="0.2">
      <c r="A1442" s="70">
        <v>44650</v>
      </c>
      <c r="B1442" s="57">
        <v>2367</v>
      </c>
      <c r="C1442" s="57">
        <v>1</v>
      </c>
      <c r="D1442" s="57" t="s">
        <v>175</v>
      </c>
      <c r="E1442" s="57">
        <v>0</v>
      </c>
      <c r="F1442" s="57">
        <v>0.12280000000000001</v>
      </c>
      <c r="G1442" s="57">
        <v>3.7999999999999999E-2</v>
      </c>
      <c r="H1442" s="57" t="s">
        <v>191</v>
      </c>
      <c r="I1442" s="33">
        <f t="shared" si="5"/>
        <v>2.2315789473684213</v>
      </c>
    </row>
    <row r="1443" spans="1:9" x14ac:dyDescent="0.2">
      <c r="A1443" s="70">
        <v>44650</v>
      </c>
      <c r="B1443" s="57">
        <v>2347</v>
      </c>
      <c r="C1443" s="57">
        <v>2</v>
      </c>
      <c r="D1443" s="57" t="s">
        <v>175</v>
      </c>
      <c r="E1443" s="57">
        <v>0</v>
      </c>
      <c r="F1443" s="57">
        <v>2.9100000000000001E-2</v>
      </c>
      <c r="G1443" s="57">
        <v>8.9999999999999993E-3</v>
      </c>
      <c r="H1443" s="57" t="s">
        <v>191</v>
      </c>
      <c r="I1443" s="33">
        <f t="shared" si="5"/>
        <v>2.2333333333333334</v>
      </c>
    </row>
    <row r="1444" spans="1:9" x14ac:dyDescent="0.2">
      <c r="A1444" s="70">
        <v>44650</v>
      </c>
      <c r="B1444" s="57">
        <v>2347</v>
      </c>
      <c r="C1444" s="57">
        <v>3</v>
      </c>
      <c r="D1444" s="57" t="s">
        <v>175</v>
      </c>
      <c r="E1444" s="57">
        <v>0</v>
      </c>
      <c r="F1444" s="57">
        <v>0.16589999999999999</v>
      </c>
      <c r="G1444" s="57">
        <v>5.0999999999999997E-2</v>
      </c>
      <c r="H1444" s="57" t="s">
        <v>191</v>
      </c>
      <c r="I1444" s="33">
        <f t="shared" si="5"/>
        <v>2.2529411764705882</v>
      </c>
    </row>
    <row r="1445" spans="1:9" x14ac:dyDescent="0.2">
      <c r="A1445" s="70">
        <v>44650</v>
      </c>
      <c r="B1445" s="57">
        <v>2375</v>
      </c>
      <c r="C1445" s="57">
        <v>1</v>
      </c>
      <c r="D1445" s="57" t="s">
        <v>175</v>
      </c>
      <c r="E1445" s="57">
        <v>0</v>
      </c>
      <c r="F1445" s="57">
        <v>4.5699999999999998E-2</v>
      </c>
      <c r="G1445" s="57">
        <v>1.4E-2</v>
      </c>
      <c r="H1445" s="57" t="s">
        <v>191</v>
      </c>
      <c r="I1445" s="33">
        <f t="shared" si="5"/>
        <v>2.2642857142857142</v>
      </c>
    </row>
    <row r="1446" spans="1:9" x14ac:dyDescent="0.2">
      <c r="A1446" s="70">
        <v>44650</v>
      </c>
      <c r="B1446" s="57">
        <v>2372</v>
      </c>
      <c r="C1446" s="57">
        <v>1</v>
      </c>
      <c r="D1446" s="57" t="s">
        <v>175</v>
      </c>
      <c r="E1446" s="57">
        <v>0</v>
      </c>
      <c r="F1446" s="57">
        <v>6.2199999999999998E-2</v>
      </c>
      <c r="G1446" s="57">
        <v>1.9E-2</v>
      </c>
      <c r="H1446" s="57" t="s">
        <v>191</v>
      </c>
      <c r="I1446" s="33">
        <f t="shared" si="5"/>
        <v>2.2736842105263158</v>
      </c>
    </row>
    <row r="1447" spans="1:9" x14ac:dyDescent="0.2">
      <c r="A1447" s="70">
        <v>44650</v>
      </c>
      <c r="B1447" s="57">
        <v>2347</v>
      </c>
      <c r="C1447" s="57">
        <v>2</v>
      </c>
      <c r="D1447" s="57" t="s">
        <v>192</v>
      </c>
      <c r="E1447" s="57" t="s">
        <v>60</v>
      </c>
      <c r="F1447" s="57">
        <v>0.4425</v>
      </c>
      <c r="G1447" s="57">
        <v>0.13300000000000001</v>
      </c>
      <c r="H1447" s="57" t="s">
        <v>191</v>
      </c>
      <c r="I1447" s="33">
        <f t="shared" si="5"/>
        <v>2.3270676691729322</v>
      </c>
    </row>
    <row r="1448" spans="1:9" x14ac:dyDescent="0.2">
      <c r="A1448" s="70">
        <v>44663</v>
      </c>
      <c r="B1448" s="57">
        <v>2351</v>
      </c>
      <c r="C1448" s="57">
        <v>3</v>
      </c>
      <c r="D1448" s="57" t="s">
        <v>192</v>
      </c>
      <c r="E1448" s="57">
        <v>0</v>
      </c>
      <c r="F1448" s="57">
        <v>0.86899999999999999</v>
      </c>
      <c r="G1448" s="57">
        <v>0.26</v>
      </c>
      <c r="H1448" s="57" t="s">
        <v>195</v>
      </c>
      <c r="I1448" s="33">
        <f t="shared" si="5"/>
        <v>2.342307692307692</v>
      </c>
    </row>
    <row r="1449" spans="1:9" x14ac:dyDescent="0.2">
      <c r="A1449" s="70">
        <v>44650</v>
      </c>
      <c r="B1449" s="57">
        <v>2375</v>
      </c>
      <c r="C1449" s="57">
        <v>1</v>
      </c>
      <c r="D1449" s="57" t="s">
        <v>192</v>
      </c>
      <c r="E1449" s="57" t="s">
        <v>60</v>
      </c>
      <c r="F1449" s="57">
        <v>0.48709999999999998</v>
      </c>
      <c r="G1449" s="57">
        <v>0.14499999999999999</v>
      </c>
      <c r="H1449" s="57" t="s">
        <v>191</v>
      </c>
      <c r="I1449" s="33">
        <f t="shared" si="5"/>
        <v>2.3593103448275863</v>
      </c>
    </row>
    <row r="1450" spans="1:9" x14ac:dyDescent="0.2">
      <c r="A1450" s="70">
        <v>44650</v>
      </c>
      <c r="B1450" s="57">
        <v>2375</v>
      </c>
      <c r="C1450" s="57">
        <v>3</v>
      </c>
      <c r="D1450" s="57" t="s">
        <v>192</v>
      </c>
      <c r="E1450" s="57" t="s">
        <v>60</v>
      </c>
      <c r="F1450" s="57">
        <v>0.79330000000000001</v>
      </c>
      <c r="G1450" s="57">
        <v>0.23499999999999999</v>
      </c>
      <c r="H1450" s="57" t="s">
        <v>191</v>
      </c>
      <c r="I1450" s="33">
        <f t="shared" si="5"/>
        <v>2.3757446808510641</v>
      </c>
    </row>
    <row r="1451" spans="1:9" x14ac:dyDescent="0.2">
      <c r="A1451" s="70">
        <v>44663</v>
      </c>
      <c r="B1451" s="57">
        <v>2351</v>
      </c>
      <c r="C1451" s="57">
        <v>1</v>
      </c>
      <c r="D1451" s="57" t="s">
        <v>175</v>
      </c>
      <c r="E1451" s="57">
        <v>0</v>
      </c>
      <c r="F1451" s="57">
        <v>0.115</v>
      </c>
      <c r="G1451" s="57">
        <v>3.4000000000000002E-2</v>
      </c>
      <c r="H1451" s="57" t="s">
        <v>195</v>
      </c>
      <c r="I1451" s="33">
        <f t="shared" si="5"/>
        <v>2.3823529411764706</v>
      </c>
    </row>
    <row r="1452" spans="1:9" x14ac:dyDescent="0.2">
      <c r="A1452" s="70">
        <v>44650</v>
      </c>
      <c r="B1452" s="57">
        <v>2370</v>
      </c>
      <c r="C1452" s="57">
        <v>3</v>
      </c>
      <c r="D1452" s="57" t="s">
        <v>175</v>
      </c>
      <c r="E1452" s="57">
        <v>0</v>
      </c>
      <c r="F1452" s="57">
        <v>3.0599999999999999E-2</v>
      </c>
      <c r="G1452" s="57">
        <v>8.9999999999999993E-3</v>
      </c>
      <c r="H1452" s="57" t="s">
        <v>191</v>
      </c>
      <c r="I1452" s="33">
        <f t="shared" si="5"/>
        <v>2.4000000000000004</v>
      </c>
    </row>
    <row r="1453" spans="1:9" x14ac:dyDescent="0.2">
      <c r="A1453" s="70">
        <v>44650</v>
      </c>
      <c r="B1453" s="57">
        <v>2370</v>
      </c>
      <c r="C1453" s="57">
        <v>3</v>
      </c>
      <c r="D1453" s="57" t="s">
        <v>192</v>
      </c>
      <c r="E1453" s="57" t="s">
        <v>60</v>
      </c>
      <c r="F1453" s="57">
        <v>0.5121</v>
      </c>
      <c r="G1453" s="57">
        <v>0.15</v>
      </c>
      <c r="H1453" s="57" t="s">
        <v>191</v>
      </c>
      <c r="I1453" s="33">
        <f t="shared" si="5"/>
        <v>2.4140000000000001</v>
      </c>
    </row>
    <row r="1454" spans="1:9" x14ac:dyDescent="0.2">
      <c r="A1454" s="70">
        <v>44650</v>
      </c>
      <c r="B1454" s="57">
        <v>2372</v>
      </c>
      <c r="C1454" s="57">
        <v>2</v>
      </c>
      <c r="D1454" s="57" t="s">
        <v>175</v>
      </c>
      <c r="E1454" s="57">
        <v>0</v>
      </c>
      <c r="F1454" s="57">
        <v>7.17E-2</v>
      </c>
      <c r="G1454" s="57">
        <v>2.1000000000000001E-2</v>
      </c>
      <c r="H1454" s="57" t="s">
        <v>191</v>
      </c>
      <c r="I1454" s="33">
        <f t="shared" si="5"/>
        <v>2.4142857142857137</v>
      </c>
    </row>
    <row r="1455" spans="1:9" x14ac:dyDescent="0.2">
      <c r="A1455" s="70">
        <v>44650</v>
      </c>
      <c r="B1455" s="57">
        <v>2375</v>
      </c>
      <c r="C1455" s="57">
        <v>2</v>
      </c>
      <c r="D1455" s="57" t="s">
        <v>192</v>
      </c>
      <c r="E1455" s="57" t="s">
        <v>60</v>
      </c>
      <c r="F1455" s="57">
        <v>0.4551</v>
      </c>
      <c r="G1455" s="57">
        <v>0.13200000000000001</v>
      </c>
      <c r="H1455" s="57" t="s">
        <v>191</v>
      </c>
      <c r="I1455" s="33">
        <f t="shared" si="5"/>
        <v>2.4477272727272728</v>
      </c>
    </row>
    <row r="1456" spans="1:9" x14ac:dyDescent="0.2">
      <c r="A1456" s="70">
        <v>44650</v>
      </c>
      <c r="B1456" s="57">
        <v>2371</v>
      </c>
      <c r="C1456" s="57">
        <v>3</v>
      </c>
      <c r="D1456" s="57" t="s">
        <v>175</v>
      </c>
      <c r="E1456" s="57">
        <v>0</v>
      </c>
      <c r="F1456" s="57">
        <v>9.6799999999999997E-2</v>
      </c>
      <c r="G1456" s="57">
        <v>2.8000000000000001E-2</v>
      </c>
      <c r="H1456" s="57" t="s">
        <v>191</v>
      </c>
      <c r="I1456" s="33">
        <f t="shared" si="5"/>
        <v>2.4571428571428573</v>
      </c>
    </row>
    <row r="1457" spans="1:9" x14ac:dyDescent="0.2">
      <c r="A1457" s="70">
        <v>44650</v>
      </c>
      <c r="B1457" s="57">
        <v>2371</v>
      </c>
      <c r="C1457" s="57">
        <v>1</v>
      </c>
      <c r="D1457" s="57" t="s">
        <v>192</v>
      </c>
      <c r="E1457" s="57" t="s">
        <v>60</v>
      </c>
      <c r="F1457" s="57">
        <v>0.82679999999999998</v>
      </c>
      <c r="G1457" s="57">
        <v>0.23599999999999999</v>
      </c>
      <c r="H1457" s="57" t="s">
        <v>191</v>
      </c>
      <c r="I1457" s="33">
        <f t="shared" si="5"/>
        <v>2.5033898305084747</v>
      </c>
    </row>
    <row r="1458" spans="1:9" x14ac:dyDescent="0.2">
      <c r="A1458" s="70">
        <v>44663</v>
      </c>
      <c r="B1458" s="57">
        <v>2351</v>
      </c>
      <c r="C1458" s="57">
        <v>1</v>
      </c>
      <c r="D1458" s="57" t="s">
        <v>192</v>
      </c>
      <c r="E1458" s="57">
        <v>0</v>
      </c>
      <c r="F1458" s="57">
        <v>0.82699999999999996</v>
      </c>
      <c r="G1458" s="57">
        <v>0.23499999999999999</v>
      </c>
      <c r="H1458" s="57" t="s">
        <v>195</v>
      </c>
      <c r="I1458" s="33">
        <f t="shared" si="5"/>
        <v>2.5191489361702128</v>
      </c>
    </row>
    <row r="1459" spans="1:9" x14ac:dyDescent="0.2">
      <c r="A1459" s="70">
        <v>44650</v>
      </c>
      <c r="B1459" s="57">
        <v>2370</v>
      </c>
      <c r="C1459" s="57">
        <v>2</v>
      </c>
      <c r="D1459" s="57" t="s">
        <v>192</v>
      </c>
      <c r="E1459" s="57" t="s">
        <v>60</v>
      </c>
      <c r="F1459" s="57">
        <v>0.20219999999999999</v>
      </c>
      <c r="G1459" s="57">
        <v>5.7000000000000002E-2</v>
      </c>
      <c r="H1459" s="57" t="s">
        <v>191</v>
      </c>
      <c r="I1459" s="33">
        <f t="shared" si="5"/>
        <v>2.5473684210526315</v>
      </c>
    </row>
    <row r="1460" spans="1:9" x14ac:dyDescent="0.2">
      <c r="A1460" s="70">
        <v>44650</v>
      </c>
      <c r="B1460" s="57">
        <v>2371</v>
      </c>
      <c r="C1460" s="57">
        <v>3</v>
      </c>
      <c r="D1460" s="57" t="s">
        <v>192</v>
      </c>
      <c r="E1460" s="57" t="s">
        <v>60</v>
      </c>
      <c r="F1460" s="57">
        <v>1.3643000000000001</v>
      </c>
      <c r="G1460" s="57">
        <v>0.38100000000000001</v>
      </c>
      <c r="H1460" s="57" t="s">
        <v>191</v>
      </c>
      <c r="I1460" s="33">
        <f t="shared" si="5"/>
        <v>2.5808398950131233</v>
      </c>
    </row>
    <row r="1461" spans="1:9" x14ac:dyDescent="0.2">
      <c r="A1461" s="70">
        <v>44650</v>
      </c>
      <c r="B1461" s="57">
        <v>2371</v>
      </c>
      <c r="C1461" s="57">
        <v>1</v>
      </c>
      <c r="D1461" s="57" t="s">
        <v>175</v>
      </c>
      <c r="E1461" s="57">
        <v>0</v>
      </c>
      <c r="F1461" s="57">
        <v>6.8099999999999994E-2</v>
      </c>
      <c r="G1461" s="57">
        <v>1.9E-2</v>
      </c>
      <c r="H1461" s="57" t="s">
        <v>191</v>
      </c>
      <c r="I1461" s="33">
        <f t="shared" si="5"/>
        <v>2.5842105263157888</v>
      </c>
    </row>
    <row r="1462" spans="1:9" x14ac:dyDescent="0.2">
      <c r="A1462" s="70">
        <v>44650</v>
      </c>
      <c r="B1462" s="57">
        <v>2367</v>
      </c>
      <c r="C1462" s="57">
        <v>3</v>
      </c>
      <c r="D1462" s="57" t="s">
        <v>175</v>
      </c>
      <c r="E1462" s="57">
        <v>0</v>
      </c>
      <c r="F1462" s="57">
        <v>5.0299999999999997E-2</v>
      </c>
      <c r="G1462" s="57">
        <v>1.4E-2</v>
      </c>
      <c r="H1462" s="57" t="s">
        <v>191</v>
      </c>
      <c r="I1462" s="33">
        <f t="shared" si="5"/>
        <v>2.5928571428571425</v>
      </c>
    </row>
    <row r="1463" spans="1:9" x14ac:dyDescent="0.2">
      <c r="A1463" s="70">
        <v>44650</v>
      </c>
      <c r="B1463" s="57">
        <v>2370</v>
      </c>
      <c r="C1463" s="57">
        <v>1</v>
      </c>
      <c r="D1463" s="57" t="s">
        <v>192</v>
      </c>
      <c r="E1463" s="57" t="s">
        <v>60</v>
      </c>
      <c r="F1463" s="57">
        <v>0.31830000000000003</v>
      </c>
      <c r="G1463" s="57">
        <v>8.7999999999999995E-2</v>
      </c>
      <c r="H1463" s="57" t="s">
        <v>191</v>
      </c>
      <c r="I1463" s="33">
        <f t="shared" si="5"/>
        <v>2.6170454545454551</v>
      </c>
    </row>
    <row r="1464" spans="1:9" x14ac:dyDescent="0.2">
      <c r="A1464" s="70">
        <v>44650</v>
      </c>
      <c r="B1464" s="57">
        <v>2372</v>
      </c>
      <c r="C1464" s="57">
        <v>3</v>
      </c>
      <c r="D1464" s="57" t="s">
        <v>192</v>
      </c>
      <c r="E1464" s="57" t="s">
        <v>60</v>
      </c>
      <c r="F1464" s="57">
        <v>1.5595000000000001</v>
      </c>
      <c r="G1464" s="57">
        <v>0.42399999999999999</v>
      </c>
      <c r="H1464" s="57" t="s">
        <v>191</v>
      </c>
      <c r="I1464" s="33">
        <f t="shared" si="5"/>
        <v>2.6780660377358494</v>
      </c>
    </row>
    <row r="1465" spans="1:9" x14ac:dyDescent="0.2">
      <c r="A1465" s="70">
        <v>44650</v>
      </c>
      <c r="B1465" s="57">
        <v>2372</v>
      </c>
      <c r="C1465" s="57">
        <v>3</v>
      </c>
      <c r="D1465" s="57" t="s">
        <v>175</v>
      </c>
      <c r="E1465" s="57">
        <v>0</v>
      </c>
      <c r="F1465" s="57">
        <v>0.192</v>
      </c>
      <c r="G1465" s="57">
        <v>5.1999999999999998E-2</v>
      </c>
      <c r="H1465" s="57" t="s">
        <v>191</v>
      </c>
      <c r="I1465" s="33">
        <f t="shared" si="5"/>
        <v>2.6923076923076925</v>
      </c>
    </row>
    <row r="1466" spans="1:9" x14ac:dyDescent="0.2">
      <c r="A1466" s="70">
        <v>44650</v>
      </c>
      <c r="B1466" s="57">
        <v>2371</v>
      </c>
      <c r="C1466" s="57">
        <v>2</v>
      </c>
      <c r="D1466" s="57" t="s">
        <v>192</v>
      </c>
      <c r="E1466" s="57" t="s">
        <v>60</v>
      </c>
      <c r="F1466" s="57">
        <v>0.75360000000000005</v>
      </c>
      <c r="G1466" s="57">
        <v>0.20300000000000001</v>
      </c>
      <c r="H1466" s="57" t="s">
        <v>191</v>
      </c>
      <c r="I1466" s="33">
        <f t="shared" si="5"/>
        <v>2.7123152709359601</v>
      </c>
    </row>
    <row r="1467" spans="1:9" x14ac:dyDescent="0.2">
      <c r="A1467" s="70">
        <v>44650</v>
      </c>
      <c r="B1467" s="57">
        <v>2354</v>
      </c>
      <c r="C1467" s="57">
        <v>2</v>
      </c>
      <c r="D1467" s="57" t="s">
        <v>175</v>
      </c>
      <c r="E1467" s="57">
        <v>0</v>
      </c>
      <c r="F1467" s="57">
        <v>2.6800000000000001E-2</v>
      </c>
      <c r="G1467" s="57">
        <v>7.0000000000000001E-3</v>
      </c>
      <c r="H1467" s="57" t="s">
        <v>191</v>
      </c>
      <c r="I1467" s="33">
        <f t="shared" si="5"/>
        <v>2.8285714285714287</v>
      </c>
    </row>
    <row r="1468" spans="1:9" x14ac:dyDescent="0.2">
      <c r="A1468" s="70">
        <v>44650</v>
      </c>
      <c r="B1468" s="57">
        <v>2370</v>
      </c>
      <c r="C1468" s="57">
        <v>1</v>
      </c>
      <c r="D1468" s="57" t="s">
        <v>175</v>
      </c>
      <c r="E1468" s="57">
        <v>0</v>
      </c>
      <c r="F1468" s="57">
        <v>2.3400000000000001E-2</v>
      </c>
      <c r="G1468" s="57">
        <v>6.0000000000000001E-3</v>
      </c>
      <c r="H1468" s="57" t="s">
        <v>191</v>
      </c>
      <c r="I1468" s="33">
        <f t="shared" si="5"/>
        <v>2.9</v>
      </c>
    </row>
    <row r="1469" spans="1:9" x14ac:dyDescent="0.2">
      <c r="A1469" s="70">
        <v>44665</v>
      </c>
      <c r="B1469" s="57">
        <v>2383</v>
      </c>
      <c r="C1469" s="57">
        <v>3</v>
      </c>
      <c r="D1469" s="57" t="s">
        <v>175</v>
      </c>
      <c r="E1469" s="57">
        <v>0</v>
      </c>
      <c r="F1469" s="57">
        <v>0.21940000000000001</v>
      </c>
      <c r="G1469" s="57">
        <v>5.3499999999999999E-2</v>
      </c>
      <c r="H1469" s="57" t="s">
        <v>191</v>
      </c>
      <c r="I1469" s="33">
        <f t="shared" si="5"/>
        <v>3.1009345794392527</v>
      </c>
    </row>
    <row r="1470" spans="1:9" x14ac:dyDescent="0.2">
      <c r="A1470" s="70">
        <v>44690</v>
      </c>
      <c r="B1470" s="57">
        <v>2030</v>
      </c>
      <c r="C1470" s="57">
        <v>2</v>
      </c>
      <c r="D1470" s="57" t="s">
        <v>175</v>
      </c>
      <c r="E1470" s="57">
        <v>1</v>
      </c>
      <c r="F1470" s="57">
        <v>0.60050000000000003</v>
      </c>
      <c r="G1470" s="57">
        <v>0.14399999999999999</v>
      </c>
      <c r="I1470" s="33">
        <f t="shared" si="5"/>
        <v>3.1701388888888893</v>
      </c>
    </row>
    <row r="1471" spans="1:9" x14ac:dyDescent="0.2">
      <c r="A1471" s="70">
        <v>44650</v>
      </c>
      <c r="B1471" s="57">
        <v>2370</v>
      </c>
      <c r="C1471" s="57">
        <v>2</v>
      </c>
      <c r="D1471" s="57" t="s">
        <v>175</v>
      </c>
      <c r="E1471" s="57">
        <v>0</v>
      </c>
      <c r="F1471" s="57">
        <v>5.8799999999999998E-2</v>
      </c>
      <c r="G1471" s="57">
        <v>1.4E-2</v>
      </c>
      <c r="H1471" s="57" t="s">
        <v>191</v>
      </c>
      <c r="I1471" s="33">
        <f t="shared" si="5"/>
        <v>3.1999999999999997</v>
      </c>
    </row>
    <row r="1472" spans="1:9" x14ac:dyDescent="0.2">
      <c r="A1472" s="70">
        <v>44685</v>
      </c>
      <c r="B1472" s="57">
        <v>2378</v>
      </c>
      <c r="C1472" s="57">
        <v>2</v>
      </c>
      <c r="D1472" s="57" t="s">
        <v>175</v>
      </c>
      <c r="E1472" s="57">
        <v>0</v>
      </c>
      <c r="F1472" s="57">
        <v>0.34089999999999998</v>
      </c>
      <c r="G1472" s="57">
        <v>7.7700000000000005E-2</v>
      </c>
      <c r="I1472" s="33">
        <f t="shared" si="5"/>
        <v>3.387387387387387</v>
      </c>
    </row>
    <row r="1473" spans="1:9" x14ac:dyDescent="0.2">
      <c r="A1473" s="70">
        <v>44690</v>
      </c>
      <c r="B1473" s="57">
        <v>2021</v>
      </c>
      <c r="C1473" s="57">
        <v>2</v>
      </c>
      <c r="D1473" s="57" t="s">
        <v>175</v>
      </c>
      <c r="E1473" s="57">
        <v>0</v>
      </c>
      <c r="F1473" s="57">
        <v>8.7800000000000003E-2</v>
      </c>
      <c r="G1473" s="72">
        <v>0.02</v>
      </c>
      <c r="I1473" s="33">
        <f t="shared" si="5"/>
        <v>3.3899999999999997</v>
      </c>
    </row>
    <row r="1474" spans="1:9" x14ac:dyDescent="0.2">
      <c r="A1474" s="70">
        <v>44690</v>
      </c>
      <c r="B1474" s="57">
        <v>2005</v>
      </c>
      <c r="C1474" s="57">
        <v>1</v>
      </c>
      <c r="D1474" s="57" t="s">
        <v>175</v>
      </c>
      <c r="E1474" s="57">
        <v>1</v>
      </c>
      <c r="F1474" s="57">
        <v>0.40560000000000002</v>
      </c>
      <c r="G1474" s="57">
        <v>8.3000000000000004E-2</v>
      </c>
      <c r="I1474" s="33">
        <f t="shared" si="5"/>
        <v>3.8867469879518071</v>
      </c>
    </row>
    <row r="1475" spans="1:9" x14ac:dyDescent="0.2">
      <c r="A1475" s="70">
        <v>44705</v>
      </c>
      <c r="B1475" s="57">
        <v>2022</v>
      </c>
      <c r="C1475" s="57">
        <v>1</v>
      </c>
      <c r="D1475" s="57" t="s">
        <v>175</v>
      </c>
      <c r="E1475" s="57">
        <v>1</v>
      </c>
      <c r="F1475" s="57">
        <v>2.9333</v>
      </c>
      <c r="G1475" s="57">
        <v>0.48799999999999999</v>
      </c>
      <c r="I1475" s="33">
        <f t="shared" si="5"/>
        <v>5.0108606557377051</v>
      </c>
    </row>
    <row r="1476" spans="1:9" x14ac:dyDescent="0.2">
      <c r="A1476" s="70">
        <v>44690</v>
      </c>
      <c r="B1476" s="57">
        <v>2031</v>
      </c>
      <c r="C1476" s="57">
        <v>3</v>
      </c>
      <c r="D1476" s="57" t="s">
        <v>175</v>
      </c>
      <c r="E1476" s="57">
        <v>0</v>
      </c>
      <c r="F1476" s="57">
        <v>0.29430000000000001</v>
      </c>
      <c r="G1476" s="57">
        <v>4.8899999999999999E-2</v>
      </c>
      <c r="I1476" s="33">
        <f t="shared" si="5"/>
        <v>5.0184049079754605</v>
      </c>
    </row>
    <row r="1477" spans="1:9" x14ac:dyDescent="0.2">
      <c r="A1477" s="70">
        <v>44690</v>
      </c>
      <c r="B1477" s="57">
        <v>2088</v>
      </c>
      <c r="C1477" s="57">
        <v>1</v>
      </c>
      <c r="D1477" s="57" t="s">
        <v>175</v>
      </c>
      <c r="E1477" s="57">
        <v>1</v>
      </c>
      <c r="F1477" s="57">
        <v>1.0377000000000001</v>
      </c>
      <c r="G1477" s="57">
        <v>0.154</v>
      </c>
      <c r="I1477" s="33">
        <f t="shared" si="5"/>
        <v>5.7383116883116889</v>
      </c>
    </row>
    <row r="1478" spans="1:9" x14ac:dyDescent="0.2">
      <c r="A1478" s="70">
        <v>44662</v>
      </c>
      <c r="B1478" s="57">
        <v>2089</v>
      </c>
      <c r="C1478" s="57">
        <v>2</v>
      </c>
      <c r="D1478" s="57" t="s">
        <v>175</v>
      </c>
      <c r="E1478" s="57">
        <v>0</v>
      </c>
      <c r="F1478" s="57">
        <v>0.1051</v>
      </c>
      <c r="G1478" s="57">
        <v>1.3100000000000001E-2</v>
      </c>
      <c r="H1478" s="57" t="s">
        <v>191</v>
      </c>
      <c r="I1478" s="33">
        <f t="shared" si="5"/>
        <v>7.0229007633587779</v>
      </c>
    </row>
    <row r="1479" spans="1:9" x14ac:dyDescent="0.2">
      <c r="A1479" s="70">
        <v>44690</v>
      </c>
      <c r="B1479" s="57">
        <v>2031</v>
      </c>
      <c r="C1479" s="57">
        <v>2</v>
      </c>
      <c r="D1479" s="57" t="s">
        <v>175</v>
      </c>
      <c r="E1479" s="57">
        <v>1</v>
      </c>
      <c r="F1479" s="57">
        <v>2.6385999999999998</v>
      </c>
      <c r="G1479" s="57">
        <v>0.224</v>
      </c>
      <c r="I1479" s="33">
        <f t="shared" si="5"/>
        <v>10.779464285714283</v>
      </c>
    </row>
    <row r="1480" spans="1:9" x14ac:dyDescent="0.2">
      <c r="A1480" s="70">
        <v>44706</v>
      </c>
      <c r="B1480" s="57">
        <v>2382</v>
      </c>
      <c r="C1480" s="57">
        <v>3</v>
      </c>
      <c r="D1480" s="57" t="s">
        <v>192</v>
      </c>
      <c r="E1480" s="57">
        <v>0</v>
      </c>
      <c r="F1480" s="57">
        <v>0.99309999999999998</v>
      </c>
      <c r="G1480" s="57">
        <v>5.0599999999999999E-2</v>
      </c>
      <c r="H1480" s="57" t="s">
        <v>193</v>
      </c>
      <c r="I1480" s="33">
        <f t="shared" si="5"/>
        <v>18.626482213438734</v>
      </c>
    </row>
    <row r="1481" spans="1:9" x14ac:dyDescent="0.2">
      <c r="A1481" s="70">
        <v>44706</v>
      </c>
      <c r="B1481" s="57">
        <v>2372</v>
      </c>
      <c r="C1481" s="57">
        <v>2</v>
      </c>
      <c r="D1481" s="57" t="s">
        <v>175</v>
      </c>
      <c r="E1481" s="57">
        <v>0</v>
      </c>
      <c r="F1481" s="57">
        <v>0.2051</v>
      </c>
      <c r="G1481" s="57">
        <v>9.2999999999999992E-3</v>
      </c>
      <c r="H1481" s="57" t="s">
        <v>193</v>
      </c>
      <c r="I1481" s="33">
        <f t="shared" si="5"/>
        <v>21.053763440860216</v>
      </c>
    </row>
    <row r="1482" spans="1:9" x14ac:dyDescent="0.2">
      <c r="A1482" s="70">
        <v>44665</v>
      </c>
      <c r="B1482" s="57">
        <v>2013</v>
      </c>
      <c r="C1482" s="57">
        <v>2</v>
      </c>
      <c r="D1482" s="57" t="s">
        <v>175</v>
      </c>
      <c r="E1482" s="57">
        <v>0</v>
      </c>
      <c r="F1482" s="57">
        <v>2.6175000000000002</v>
      </c>
      <c r="G1482" s="57">
        <v>0.11020000000000001</v>
      </c>
      <c r="H1482" s="57" t="s">
        <v>191</v>
      </c>
      <c r="I1482" s="33">
        <f t="shared" si="5"/>
        <v>22.752268602540838</v>
      </c>
    </row>
    <row r="1483" spans="1:9" x14ac:dyDescent="0.2">
      <c r="A1483" s="70">
        <v>44665</v>
      </c>
      <c r="B1483" s="57">
        <v>2078</v>
      </c>
      <c r="C1483" s="57">
        <v>1</v>
      </c>
      <c r="D1483" s="57" t="s">
        <v>175</v>
      </c>
      <c r="E1483" s="57">
        <v>0</v>
      </c>
      <c r="F1483" s="57">
        <v>0.66439999999999999</v>
      </c>
      <c r="G1483" s="57">
        <v>2.5700000000000001E-2</v>
      </c>
      <c r="H1483" s="57" t="s">
        <v>191</v>
      </c>
      <c r="I1483" s="33">
        <f t="shared" si="5"/>
        <v>24.852140077821012</v>
      </c>
    </row>
    <row r="1484" spans="1:9" x14ac:dyDescent="0.2">
      <c r="A1484" s="70">
        <v>44690</v>
      </c>
      <c r="B1484" s="57">
        <v>2030</v>
      </c>
      <c r="C1484" s="57">
        <v>2</v>
      </c>
      <c r="D1484" s="57" t="s">
        <v>175</v>
      </c>
      <c r="E1484" s="57">
        <v>0</v>
      </c>
      <c r="F1484" s="57">
        <v>2.6455000000000002</v>
      </c>
      <c r="G1484" s="57">
        <v>9.5000000000000001E-2</v>
      </c>
      <c r="I1484" s="33">
        <f t="shared" si="5"/>
        <v>26.847368421052632</v>
      </c>
    </row>
    <row r="1485" spans="1:9" x14ac:dyDescent="0.2">
      <c r="A1485" s="70">
        <v>44635</v>
      </c>
      <c r="B1485" s="57">
        <v>2091</v>
      </c>
      <c r="C1485" s="57">
        <v>1</v>
      </c>
      <c r="D1485" s="57" t="s">
        <v>192</v>
      </c>
      <c r="E1485" s="57" t="s">
        <v>60</v>
      </c>
      <c r="F1485" s="57" t="s">
        <v>60</v>
      </c>
      <c r="G1485" s="57">
        <v>1.94</v>
      </c>
      <c r="H1485" s="57" t="s">
        <v>194</v>
      </c>
      <c r="I1485" s="33" t="e">
        <f t="shared" si="5"/>
        <v>#VALUE!</v>
      </c>
    </row>
    <row r="1486" spans="1:9" x14ac:dyDescent="0.2">
      <c r="A1486" s="70">
        <v>44650</v>
      </c>
      <c r="B1486" s="57">
        <v>2361</v>
      </c>
      <c r="C1486" s="57">
        <v>1</v>
      </c>
      <c r="D1486" s="57" t="s">
        <v>175</v>
      </c>
      <c r="E1486" s="57">
        <v>0</v>
      </c>
      <c r="F1486" s="57" t="s">
        <v>60</v>
      </c>
      <c r="G1486" s="57">
        <v>2.8000000000000001E-2</v>
      </c>
      <c r="H1486" s="57" t="s">
        <v>191</v>
      </c>
      <c r="I1486" s="33" t="e">
        <f t="shared" si="5"/>
        <v>#VALUE!</v>
      </c>
    </row>
    <row r="1487" spans="1:9" x14ac:dyDescent="0.2">
      <c r="A1487" s="70"/>
      <c r="B1487" s="57"/>
      <c r="C1487" s="57"/>
      <c r="D1487" s="57"/>
      <c r="F1487" s="57"/>
      <c r="G1487" s="57"/>
    </row>
    <row r="1488" spans="1:9" x14ac:dyDescent="0.2">
      <c r="A1488" s="70"/>
      <c r="B1488" s="57"/>
      <c r="C1488" s="57"/>
      <c r="D1488" s="57"/>
      <c r="F1488" s="57"/>
      <c r="G1488" s="57"/>
    </row>
    <row r="1489" spans="1:7" x14ac:dyDescent="0.2">
      <c r="A1489" s="70"/>
      <c r="B1489" s="57"/>
      <c r="C1489" s="57"/>
      <c r="D1489" s="57"/>
      <c r="F1489" s="57"/>
      <c r="G1489" s="57"/>
    </row>
    <row r="1490" spans="1:7" x14ac:dyDescent="0.2">
      <c r="A1490" s="70"/>
      <c r="B1490" s="57"/>
      <c r="C1490" s="57"/>
      <c r="D1490" s="57"/>
      <c r="F1490" s="57"/>
      <c r="G1490" s="57"/>
    </row>
    <row r="1491" spans="1:7" x14ac:dyDescent="0.2">
      <c r="A1491" s="70"/>
      <c r="B1491" s="57"/>
      <c r="C1491" s="57"/>
      <c r="D1491" s="57"/>
      <c r="F1491" s="57"/>
      <c r="G1491" s="57"/>
    </row>
    <row r="1492" spans="1:7" x14ac:dyDescent="0.2">
      <c r="A1492" s="70"/>
      <c r="B1492" s="57"/>
      <c r="C1492" s="57"/>
      <c r="D1492" s="57"/>
      <c r="F1492" s="57"/>
      <c r="G1492" s="57"/>
    </row>
    <row r="1493" spans="1:7" x14ac:dyDescent="0.2">
      <c r="A1493" s="70"/>
      <c r="B1493" s="57"/>
      <c r="C1493" s="57"/>
      <c r="D1493" s="57"/>
      <c r="F1493" s="57"/>
      <c r="G1493" s="57"/>
    </row>
    <row r="1494" spans="1:7" x14ac:dyDescent="0.2">
      <c r="A1494" s="70"/>
      <c r="B1494" s="57"/>
      <c r="C1494" s="57"/>
      <c r="D1494" s="57"/>
      <c r="F1494" s="57"/>
      <c r="G1494" s="57"/>
    </row>
    <row r="1495" spans="1:7" x14ac:dyDescent="0.2">
      <c r="A1495" s="70"/>
      <c r="B1495" s="57"/>
      <c r="C1495" s="57"/>
      <c r="D1495" s="57"/>
      <c r="F1495" s="57"/>
      <c r="G1495" s="57"/>
    </row>
    <row r="1496" spans="1:7" x14ac:dyDescent="0.2">
      <c r="A1496" s="70"/>
      <c r="B1496" s="57"/>
      <c r="C1496" s="57"/>
      <c r="D1496" s="57"/>
      <c r="F1496" s="57"/>
      <c r="G1496" s="57"/>
    </row>
    <row r="1497" spans="1:7" x14ac:dyDescent="0.2">
      <c r="A1497" s="70"/>
      <c r="B1497" s="57"/>
      <c r="C1497" s="57"/>
      <c r="D1497" s="57"/>
      <c r="F1497" s="57"/>
      <c r="G1497" s="57"/>
    </row>
    <row r="1498" spans="1:7" x14ac:dyDescent="0.2">
      <c r="A1498" s="70"/>
      <c r="B1498" s="57"/>
      <c r="C1498" s="57"/>
      <c r="D1498" s="57"/>
      <c r="F1498" s="57"/>
      <c r="G1498" s="57"/>
    </row>
    <row r="1499" spans="1:7" x14ac:dyDescent="0.2">
      <c r="A1499" s="70"/>
      <c r="B1499" s="57"/>
      <c r="C1499" s="57"/>
      <c r="D1499" s="57"/>
      <c r="F1499" s="57"/>
      <c r="G1499" s="57"/>
    </row>
    <row r="1500" spans="1:7" x14ac:dyDescent="0.2">
      <c r="A1500" s="70"/>
      <c r="B1500" s="57"/>
      <c r="C1500" s="57"/>
      <c r="D1500" s="57"/>
      <c r="F1500" s="57"/>
      <c r="G1500" s="57"/>
    </row>
    <row r="1501" spans="1:7" x14ac:dyDescent="0.2">
      <c r="A1501" s="70"/>
      <c r="B1501" s="57"/>
      <c r="C1501" s="57"/>
      <c r="D1501" s="57"/>
      <c r="F1501" s="57"/>
      <c r="G1501" s="57"/>
    </row>
    <row r="1502" spans="1:7" x14ac:dyDescent="0.2">
      <c r="A1502" s="70"/>
      <c r="B1502" s="57"/>
      <c r="C1502" s="57"/>
      <c r="D1502" s="57"/>
      <c r="F1502" s="57"/>
      <c r="G1502" s="57"/>
    </row>
    <row r="1503" spans="1:7" x14ac:dyDescent="0.2">
      <c r="A1503" s="70"/>
      <c r="B1503" s="57"/>
      <c r="C1503" s="57"/>
      <c r="D1503" s="57"/>
      <c r="F1503" s="57"/>
      <c r="G1503" s="57"/>
    </row>
    <row r="1504" spans="1:7" x14ac:dyDescent="0.2">
      <c r="A1504" s="70"/>
      <c r="B1504" s="57"/>
      <c r="C1504" s="57"/>
      <c r="D1504" s="57"/>
      <c r="F1504" s="57"/>
      <c r="G1504" s="57"/>
    </row>
    <row r="1505" spans="1:7" x14ac:dyDescent="0.2">
      <c r="A1505" s="70"/>
      <c r="B1505" s="57"/>
      <c r="C1505" s="57"/>
      <c r="D1505" s="57"/>
      <c r="F1505" s="57"/>
      <c r="G1505" s="57"/>
    </row>
    <row r="1506" spans="1:7" x14ac:dyDescent="0.2">
      <c r="A1506" s="70"/>
      <c r="B1506" s="57"/>
      <c r="C1506" s="57"/>
      <c r="D1506" s="57"/>
      <c r="F1506" s="57"/>
      <c r="G1506" s="57"/>
    </row>
    <row r="1507" spans="1:7" x14ac:dyDescent="0.2">
      <c r="A1507" s="70"/>
      <c r="B1507" s="57"/>
      <c r="C1507" s="57"/>
      <c r="D1507" s="57"/>
      <c r="F1507" s="57"/>
      <c r="G1507" s="57"/>
    </row>
    <row r="1508" spans="1:7" x14ac:dyDescent="0.2">
      <c r="A1508" s="70"/>
      <c r="B1508" s="57"/>
      <c r="C1508" s="57"/>
      <c r="D1508" s="57"/>
      <c r="F1508" s="57"/>
      <c r="G1508" s="57"/>
    </row>
    <row r="1509" spans="1:7" x14ac:dyDescent="0.2">
      <c r="A1509" s="70"/>
      <c r="B1509" s="57"/>
      <c r="C1509" s="57"/>
      <c r="D1509" s="57"/>
      <c r="F1509" s="57"/>
      <c r="G1509" s="57"/>
    </row>
    <row r="1510" spans="1:7" x14ac:dyDescent="0.2">
      <c r="A1510" s="70"/>
      <c r="B1510" s="57"/>
      <c r="C1510" s="57"/>
      <c r="D1510" s="57"/>
      <c r="F1510" s="57"/>
      <c r="G1510" s="57"/>
    </row>
    <row r="1511" spans="1:7" x14ac:dyDescent="0.2">
      <c r="A1511" s="70"/>
      <c r="B1511" s="57"/>
      <c r="C1511" s="57"/>
      <c r="D1511" s="57"/>
      <c r="F1511" s="57"/>
      <c r="G1511" s="57"/>
    </row>
    <row r="1512" spans="1:7" x14ac:dyDescent="0.2">
      <c r="A1512" s="70"/>
      <c r="B1512" s="57"/>
      <c r="C1512" s="57"/>
      <c r="D1512" s="57"/>
      <c r="F1512" s="57"/>
      <c r="G1512" s="57"/>
    </row>
    <row r="1513" spans="1:7" x14ac:dyDescent="0.2">
      <c r="A1513" s="70"/>
      <c r="B1513" s="57"/>
      <c r="C1513" s="57"/>
      <c r="D1513" s="57"/>
      <c r="F1513" s="57"/>
      <c r="G1513" s="57"/>
    </row>
    <row r="1514" spans="1:7" x14ac:dyDescent="0.2">
      <c r="A1514" s="70"/>
      <c r="B1514" s="57"/>
      <c r="C1514" s="57"/>
      <c r="D1514" s="57"/>
      <c r="F1514" s="57"/>
      <c r="G1514" s="57"/>
    </row>
    <row r="1515" spans="1:7" x14ac:dyDescent="0.2">
      <c r="A1515" s="70"/>
      <c r="B1515" s="57"/>
      <c r="C1515" s="57"/>
      <c r="D1515" s="57"/>
      <c r="F1515" s="57"/>
      <c r="G1515" s="57"/>
    </row>
    <row r="1516" spans="1:7" x14ac:dyDescent="0.2">
      <c r="A1516" s="70"/>
      <c r="B1516" s="57"/>
      <c r="C1516" s="57"/>
      <c r="D1516" s="57"/>
      <c r="F1516" s="57"/>
      <c r="G1516" s="57"/>
    </row>
    <row r="1517" spans="1:7" x14ac:dyDescent="0.2">
      <c r="A1517" s="70"/>
      <c r="B1517" s="57"/>
      <c r="C1517" s="57"/>
      <c r="D1517" s="57"/>
      <c r="F1517" s="57"/>
      <c r="G1517" s="57"/>
    </row>
    <row r="1518" spans="1:7" x14ac:dyDescent="0.2">
      <c r="A1518" s="70"/>
      <c r="B1518" s="57"/>
      <c r="C1518" s="57"/>
      <c r="D1518" s="57"/>
      <c r="F1518" s="57"/>
      <c r="G1518" s="57"/>
    </row>
    <row r="1519" spans="1:7" x14ac:dyDescent="0.2">
      <c r="A1519" s="70"/>
      <c r="B1519" s="57"/>
      <c r="C1519" s="57"/>
      <c r="D1519" s="57"/>
      <c r="F1519" s="57"/>
      <c r="G1519" s="57"/>
    </row>
    <row r="1520" spans="1:7" x14ac:dyDescent="0.2">
      <c r="A1520" s="70"/>
      <c r="B1520" s="57"/>
      <c r="C1520" s="57"/>
      <c r="D1520" s="57"/>
      <c r="F1520" s="57"/>
      <c r="G1520" s="57"/>
    </row>
    <row r="1521" spans="1:7" x14ac:dyDescent="0.2">
      <c r="A1521" s="70"/>
      <c r="B1521" s="57"/>
      <c r="C1521" s="57"/>
      <c r="D1521" s="57"/>
      <c r="F1521" s="57"/>
      <c r="G1521" s="57"/>
    </row>
    <row r="1522" spans="1:7" x14ac:dyDescent="0.2">
      <c r="A1522" s="70"/>
      <c r="B1522" s="57"/>
      <c r="C1522" s="57"/>
      <c r="D1522" s="57"/>
      <c r="F1522" s="57"/>
      <c r="G1522" s="57"/>
    </row>
    <row r="1523" spans="1:7" x14ac:dyDescent="0.2">
      <c r="A1523" s="70"/>
      <c r="B1523" s="57"/>
      <c r="C1523" s="57"/>
      <c r="D1523" s="57"/>
      <c r="F1523" s="57"/>
      <c r="G1523" s="57"/>
    </row>
    <row r="1524" spans="1:7" x14ac:dyDescent="0.2">
      <c r="A1524" s="70"/>
      <c r="B1524" s="57"/>
      <c r="C1524" s="57"/>
      <c r="D1524" s="57"/>
      <c r="F1524" s="57"/>
      <c r="G1524" s="57"/>
    </row>
    <row r="1525" spans="1:7" x14ac:dyDescent="0.2">
      <c r="A1525" s="70"/>
      <c r="B1525" s="57"/>
      <c r="C1525" s="57"/>
      <c r="D1525" s="57"/>
      <c r="F1525" s="57"/>
      <c r="G1525" s="57"/>
    </row>
    <row r="1526" spans="1:7" x14ac:dyDescent="0.2">
      <c r="A1526" s="70"/>
      <c r="B1526" s="57"/>
      <c r="C1526" s="57"/>
      <c r="D1526" s="57"/>
      <c r="F1526" s="57"/>
      <c r="G1526" s="57"/>
    </row>
    <row r="1527" spans="1:7" x14ac:dyDescent="0.2">
      <c r="A1527" s="70"/>
      <c r="B1527" s="57"/>
      <c r="C1527" s="57"/>
      <c r="D1527" s="57"/>
      <c r="F1527" s="57"/>
      <c r="G1527" s="57"/>
    </row>
    <row r="1528" spans="1:7" x14ac:dyDescent="0.2">
      <c r="A1528" s="70"/>
      <c r="B1528" s="57"/>
      <c r="C1528" s="57"/>
      <c r="D1528" s="57"/>
      <c r="F1528" s="57"/>
      <c r="G1528" s="57"/>
    </row>
    <row r="1529" spans="1:7" x14ac:dyDescent="0.2">
      <c r="A1529" s="70"/>
      <c r="B1529" s="57"/>
      <c r="C1529" s="57"/>
      <c r="D1529" s="57"/>
      <c r="F1529" s="57"/>
      <c r="G1529" s="57"/>
    </row>
    <row r="1530" spans="1:7" x14ac:dyDescent="0.2">
      <c r="A1530" s="70"/>
      <c r="B1530" s="57"/>
      <c r="C1530" s="57"/>
      <c r="D1530" s="57"/>
      <c r="F1530" s="57"/>
      <c r="G1530" s="57"/>
    </row>
    <row r="1531" spans="1:7" x14ac:dyDescent="0.2">
      <c r="A1531" s="70"/>
      <c r="B1531" s="57"/>
      <c r="C1531" s="57"/>
      <c r="D1531" s="57"/>
      <c r="F1531" s="57"/>
      <c r="G1531" s="57"/>
    </row>
    <row r="1532" spans="1:7" x14ac:dyDescent="0.2">
      <c r="A1532" s="70"/>
      <c r="B1532" s="57"/>
      <c r="C1532" s="57"/>
      <c r="D1532" s="57"/>
      <c r="F1532" s="57"/>
      <c r="G1532" s="57"/>
    </row>
    <row r="1533" spans="1:7" x14ac:dyDescent="0.2">
      <c r="A1533" s="70"/>
      <c r="B1533" s="57"/>
      <c r="C1533" s="57"/>
      <c r="D1533" s="57"/>
      <c r="F1533" s="57"/>
      <c r="G1533" s="57"/>
    </row>
    <row r="1534" spans="1:7" x14ac:dyDescent="0.2">
      <c r="A1534" s="70"/>
      <c r="B1534" s="57"/>
      <c r="C1534" s="57"/>
      <c r="D1534" s="57"/>
      <c r="F1534" s="57"/>
      <c r="G1534" s="57"/>
    </row>
    <row r="1535" spans="1:7" x14ac:dyDescent="0.2">
      <c r="A1535" s="70"/>
      <c r="B1535" s="57"/>
      <c r="C1535" s="57"/>
      <c r="D1535" s="57"/>
      <c r="F1535" s="57"/>
      <c r="G1535" s="57"/>
    </row>
    <row r="1536" spans="1:7" x14ac:dyDescent="0.2">
      <c r="A1536" s="70"/>
      <c r="B1536" s="57"/>
      <c r="C1536" s="57"/>
      <c r="D1536" s="57"/>
      <c r="F1536" s="57"/>
      <c r="G1536" s="57"/>
    </row>
    <row r="1537" spans="1:7" x14ac:dyDescent="0.2">
      <c r="A1537" s="70"/>
      <c r="B1537" s="57"/>
      <c r="C1537" s="57"/>
      <c r="D1537" s="57"/>
      <c r="F1537" s="57"/>
      <c r="G1537" s="57"/>
    </row>
    <row r="1538" spans="1:7" x14ac:dyDescent="0.2">
      <c r="A1538" s="70"/>
      <c r="B1538" s="57"/>
      <c r="C1538" s="57"/>
      <c r="D1538" s="57"/>
      <c r="F1538" s="57"/>
      <c r="G1538" s="57"/>
    </row>
    <row r="1539" spans="1:7" x14ac:dyDescent="0.2">
      <c r="A1539" s="70"/>
      <c r="B1539" s="57"/>
      <c r="C1539" s="57"/>
      <c r="D1539" s="57"/>
      <c r="F1539" s="57"/>
      <c r="G1539" s="57"/>
    </row>
    <row r="1540" spans="1:7" x14ac:dyDescent="0.2">
      <c r="A1540" s="70"/>
      <c r="B1540" s="57"/>
      <c r="C1540" s="57"/>
      <c r="D1540" s="57"/>
      <c r="F1540" s="57"/>
      <c r="G1540" s="57"/>
    </row>
    <row r="1541" spans="1:7" x14ac:dyDescent="0.2">
      <c r="A1541" s="70"/>
      <c r="B1541" s="57"/>
      <c r="C1541" s="57"/>
      <c r="D1541" s="57"/>
      <c r="F1541" s="57"/>
      <c r="G1541" s="57"/>
    </row>
    <row r="1542" spans="1:7" x14ac:dyDescent="0.2">
      <c r="A1542" s="70"/>
      <c r="B1542" s="57"/>
      <c r="C1542" s="57"/>
      <c r="D1542" s="57"/>
      <c r="F1542" s="57"/>
      <c r="G1542" s="57"/>
    </row>
    <row r="1543" spans="1:7" x14ac:dyDescent="0.2">
      <c r="A1543" s="70"/>
      <c r="B1543" s="57"/>
      <c r="C1543" s="57"/>
      <c r="D1543" s="57"/>
      <c r="F1543" s="57"/>
      <c r="G1543" s="57"/>
    </row>
    <row r="1544" spans="1:7" x14ac:dyDescent="0.2">
      <c r="A1544" s="70"/>
      <c r="B1544" s="57"/>
      <c r="C1544" s="57"/>
      <c r="D1544" s="57"/>
      <c r="F1544" s="57"/>
      <c r="G1544" s="57"/>
    </row>
    <row r="1545" spans="1:7" x14ac:dyDescent="0.2">
      <c r="A1545" s="70"/>
      <c r="B1545" s="57"/>
      <c r="C1545" s="57"/>
      <c r="D1545" s="57"/>
      <c r="F1545" s="57"/>
      <c r="G1545" s="57"/>
    </row>
    <row r="1546" spans="1:7" x14ac:dyDescent="0.2">
      <c r="A1546" s="70"/>
      <c r="B1546" s="57"/>
      <c r="C1546" s="57"/>
      <c r="D1546" s="57"/>
      <c r="F1546" s="57"/>
      <c r="G1546" s="57"/>
    </row>
    <row r="1547" spans="1:7" x14ac:dyDescent="0.2">
      <c r="A1547" s="70"/>
      <c r="B1547" s="57"/>
      <c r="C1547" s="57"/>
      <c r="D1547" s="57"/>
      <c r="F1547" s="57"/>
      <c r="G1547" s="57"/>
    </row>
    <row r="1548" spans="1:7" x14ac:dyDescent="0.2">
      <c r="A1548" s="70"/>
      <c r="B1548" s="57"/>
      <c r="C1548" s="57"/>
      <c r="D1548" s="57"/>
      <c r="F1548" s="57"/>
      <c r="G1548" s="57"/>
    </row>
    <row r="1549" spans="1:7" x14ac:dyDescent="0.2">
      <c r="A1549" s="70"/>
      <c r="B1549" s="57"/>
      <c r="C1549" s="57"/>
      <c r="D1549" s="57"/>
      <c r="F1549" s="57"/>
      <c r="G1549" s="57"/>
    </row>
    <row r="1550" spans="1:7" x14ac:dyDescent="0.2">
      <c r="A1550" s="70"/>
      <c r="B1550" s="57"/>
      <c r="C1550" s="57"/>
      <c r="D1550" s="57"/>
      <c r="F1550" s="57"/>
      <c r="G1550" s="57"/>
    </row>
    <row r="1551" spans="1:7" x14ac:dyDescent="0.2">
      <c r="A1551" s="70"/>
      <c r="B1551" s="57"/>
      <c r="C1551" s="57"/>
      <c r="D1551" s="57"/>
      <c r="F1551" s="57"/>
      <c r="G1551" s="57"/>
    </row>
    <row r="1552" spans="1:7" x14ac:dyDescent="0.2">
      <c r="A1552" s="70"/>
      <c r="B1552" s="57"/>
      <c r="C1552" s="57"/>
      <c r="D1552" s="57"/>
      <c r="F1552" s="57"/>
      <c r="G1552" s="57"/>
    </row>
    <row r="1553" spans="1:7" x14ac:dyDescent="0.2">
      <c r="A1553" s="70"/>
      <c r="B1553" s="57"/>
      <c r="C1553" s="57"/>
      <c r="D1553" s="57"/>
      <c r="F1553" s="57"/>
      <c r="G1553" s="57"/>
    </row>
    <row r="1554" spans="1:7" x14ac:dyDescent="0.2">
      <c r="A1554" s="70"/>
      <c r="B1554" s="57"/>
      <c r="C1554" s="57"/>
      <c r="D1554" s="57"/>
      <c r="F1554" s="57"/>
      <c r="G1554" s="57"/>
    </row>
    <row r="1555" spans="1:7" x14ac:dyDescent="0.2">
      <c r="A1555" s="70"/>
      <c r="B1555" s="57"/>
      <c r="C1555" s="57"/>
      <c r="D1555" s="57"/>
      <c r="F1555" s="57"/>
      <c r="G1555" s="57"/>
    </row>
    <row r="1556" spans="1:7" x14ac:dyDescent="0.2">
      <c r="A1556" s="70"/>
      <c r="B1556" s="57"/>
      <c r="C1556" s="57"/>
      <c r="D1556" s="57"/>
      <c r="F1556" s="57"/>
      <c r="G1556" s="57"/>
    </row>
    <row r="1557" spans="1:7" x14ac:dyDescent="0.2">
      <c r="A1557" s="70"/>
      <c r="B1557" s="57"/>
      <c r="C1557" s="57"/>
      <c r="D1557" s="57"/>
      <c r="F1557" s="57"/>
      <c r="G1557" s="57"/>
    </row>
    <row r="1558" spans="1:7" x14ac:dyDescent="0.2">
      <c r="A1558" s="70"/>
      <c r="B1558" s="57"/>
      <c r="C1558" s="57"/>
      <c r="D1558" s="57"/>
      <c r="F1558" s="57"/>
      <c r="G1558" s="57"/>
    </row>
    <row r="1559" spans="1:7" x14ac:dyDescent="0.2">
      <c r="A1559" s="70"/>
      <c r="B1559" s="57"/>
      <c r="C1559" s="57"/>
      <c r="D1559" s="57"/>
      <c r="F1559" s="57"/>
      <c r="G1559" s="57"/>
    </row>
    <row r="1560" spans="1:7" x14ac:dyDescent="0.2">
      <c r="A1560" s="70"/>
      <c r="B1560" s="57"/>
      <c r="C1560" s="57"/>
      <c r="D1560" s="57"/>
      <c r="F1560" s="57"/>
      <c r="G1560" s="57"/>
    </row>
    <row r="1561" spans="1:7" x14ac:dyDescent="0.2">
      <c r="A1561" s="70"/>
      <c r="B1561" s="57"/>
      <c r="C1561" s="57"/>
      <c r="D1561" s="57"/>
      <c r="F1561" s="57"/>
      <c r="G1561" s="57"/>
    </row>
    <row r="1562" spans="1:7" x14ac:dyDescent="0.2">
      <c r="A1562" s="70"/>
      <c r="B1562" s="57"/>
      <c r="C1562" s="57"/>
      <c r="D1562" s="57"/>
      <c r="F1562" s="57"/>
      <c r="G1562" s="57"/>
    </row>
    <row r="1563" spans="1:7" x14ac:dyDescent="0.2">
      <c r="A1563" s="70"/>
      <c r="B1563" s="57"/>
      <c r="C1563" s="57"/>
      <c r="D1563" s="57"/>
      <c r="F1563" s="57"/>
      <c r="G1563" s="57"/>
    </row>
    <row r="1564" spans="1:7" x14ac:dyDescent="0.2">
      <c r="A1564" s="70"/>
      <c r="B1564" s="57"/>
      <c r="C1564" s="57"/>
      <c r="D1564" s="57"/>
      <c r="F1564" s="57"/>
      <c r="G1564" s="57"/>
    </row>
    <row r="1565" spans="1:7" x14ac:dyDescent="0.2">
      <c r="A1565" s="70"/>
      <c r="B1565" s="57"/>
      <c r="C1565" s="57"/>
      <c r="D1565" s="57"/>
      <c r="F1565" s="57"/>
      <c r="G1565" s="57"/>
    </row>
    <row r="1566" spans="1:7" x14ac:dyDescent="0.2">
      <c r="A1566" s="70"/>
      <c r="B1566" s="57"/>
      <c r="C1566" s="57"/>
      <c r="D1566" s="57"/>
      <c r="F1566" s="57"/>
      <c r="G1566" s="57"/>
    </row>
    <row r="1567" spans="1:7" x14ac:dyDescent="0.2">
      <c r="A1567" s="70"/>
      <c r="B1567" s="57"/>
      <c r="C1567" s="57"/>
      <c r="D1567" s="57"/>
      <c r="F1567" s="57"/>
      <c r="G1567" s="57"/>
    </row>
    <row r="1568" spans="1:7" x14ac:dyDescent="0.2">
      <c r="A1568" s="70"/>
      <c r="B1568" s="57"/>
      <c r="C1568" s="57"/>
      <c r="D1568" s="57"/>
      <c r="F1568" s="57"/>
      <c r="G1568" s="57"/>
    </row>
    <row r="1569" spans="1:7" x14ac:dyDescent="0.2">
      <c r="A1569" s="70"/>
      <c r="B1569" s="57"/>
      <c r="C1569" s="57"/>
      <c r="D1569" s="57"/>
      <c r="F1569" s="57"/>
      <c r="G1569" s="57"/>
    </row>
    <row r="1570" spans="1:7" x14ac:dyDescent="0.2">
      <c r="A1570" s="70"/>
      <c r="B1570" s="57"/>
      <c r="C1570" s="57"/>
      <c r="D1570" s="57"/>
      <c r="F1570" s="57"/>
      <c r="G1570" s="57"/>
    </row>
    <row r="1571" spans="1:7" x14ac:dyDescent="0.2">
      <c r="A1571" s="70"/>
      <c r="B1571" s="57"/>
      <c r="C1571" s="57"/>
      <c r="D1571" s="57"/>
      <c r="F1571" s="57"/>
      <c r="G1571" s="57"/>
    </row>
    <row r="1572" spans="1:7" x14ac:dyDescent="0.2">
      <c r="A1572" s="70"/>
      <c r="B1572" s="57"/>
      <c r="C1572" s="57"/>
      <c r="D1572" s="57"/>
      <c r="F1572" s="57"/>
      <c r="G1572" s="57"/>
    </row>
    <row r="1573" spans="1:7" x14ac:dyDescent="0.2">
      <c r="A1573" s="70"/>
      <c r="B1573" s="57"/>
      <c r="C1573" s="57"/>
      <c r="D1573" s="57"/>
      <c r="F1573" s="57"/>
      <c r="G1573" s="57"/>
    </row>
    <row r="1574" spans="1:7" x14ac:dyDescent="0.2">
      <c r="A1574" s="70"/>
      <c r="B1574" s="57"/>
      <c r="C1574" s="57"/>
      <c r="D1574" s="57"/>
      <c r="F1574" s="57"/>
      <c r="G1574" s="57"/>
    </row>
    <row r="1575" spans="1:7" x14ac:dyDescent="0.2">
      <c r="A1575" s="70"/>
      <c r="B1575" s="57"/>
      <c r="C1575" s="57"/>
      <c r="D1575" s="57"/>
      <c r="F1575" s="57"/>
      <c r="G1575" s="57"/>
    </row>
    <row r="1576" spans="1:7" x14ac:dyDescent="0.2">
      <c r="A1576" s="70"/>
      <c r="B1576" s="57"/>
      <c r="C1576" s="57"/>
      <c r="D1576" s="57"/>
      <c r="F1576" s="57"/>
      <c r="G1576" s="57"/>
    </row>
    <row r="1577" spans="1:7" x14ac:dyDescent="0.2">
      <c r="A1577" s="70"/>
      <c r="B1577" s="57"/>
      <c r="C1577" s="57"/>
      <c r="D1577" s="57"/>
      <c r="F1577" s="57"/>
      <c r="G1577" s="57"/>
    </row>
    <row r="1578" spans="1:7" x14ac:dyDescent="0.2">
      <c r="A1578" s="70"/>
      <c r="B1578" s="57"/>
      <c r="C1578" s="57"/>
      <c r="D1578" s="57"/>
      <c r="F1578" s="57"/>
      <c r="G1578" s="57"/>
    </row>
    <row r="1579" spans="1:7" x14ac:dyDescent="0.2">
      <c r="A1579" s="70"/>
      <c r="B1579" s="57"/>
      <c r="C1579" s="57"/>
      <c r="D1579" s="57"/>
      <c r="F1579" s="57"/>
      <c r="G1579" s="57"/>
    </row>
    <row r="1580" spans="1:7" x14ac:dyDescent="0.2">
      <c r="A1580" s="70"/>
      <c r="B1580" s="57"/>
      <c r="C1580" s="57"/>
      <c r="D1580" s="57"/>
      <c r="F1580" s="57"/>
      <c r="G1580" s="57"/>
    </row>
    <row r="1581" spans="1:7" x14ac:dyDescent="0.2">
      <c r="A1581" s="70"/>
      <c r="B1581" s="57"/>
      <c r="C1581" s="57"/>
      <c r="D1581" s="57"/>
      <c r="F1581" s="57"/>
      <c r="G1581" s="57"/>
    </row>
    <row r="1582" spans="1:7" x14ac:dyDescent="0.2">
      <c r="A1582" s="70"/>
      <c r="B1582" s="57"/>
      <c r="C1582" s="57"/>
      <c r="D1582" s="57"/>
      <c r="F1582" s="57"/>
      <c r="G1582" s="57"/>
    </row>
    <row r="1583" spans="1:7" x14ac:dyDescent="0.2">
      <c r="A1583" s="70"/>
      <c r="B1583" s="57"/>
      <c r="C1583" s="57"/>
      <c r="D1583" s="57"/>
      <c r="F1583" s="57"/>
      <c r="G1583" s="57"/>
    </row>
    <row r="1584" spans="1:7" x14ac:dyDescent="0.2">
      <c r="A1584" s="70"/>
      <c r="B1584" s="57"/>
      <c r="C1584" s="57"/>
      <c r="D1584" s="57"/>
      <c r="F1584" s="57"/>
      <c r="G1584" s="57"/>
    </row>
    <row r="1585" spans="1:7" x14ac:dyDescent="0.2">
      <c r="A1585" s="70"/>
      <c r="B1585" s="57"/>
      <c r="C1585" s="57"/>
      <c r="D1585" s="57"/>
      <c r="F1585" s="57"/>
      <c r="G1585" s="57"/>
    </row>
    <row r="1586" spans="1:7" x14ac:dyDescent="0.2">
      <c r="A1586" s="70"/>
      <c r="B1586" s="57"/>
      <c r="C1586" s="57"/>
      <c r="D1586" s="57"/>
      <c r="F1586" s="57"/>
      <c r="G1586" s="57"/>
    </row>
    <row r="1587" spans="1:7" x14ac:dyDescent="0.2">
      <c r="A1587" s="70"/>
      <c r="B1587" s="57"/>
      <c r="C1587" s="57"/>
      <c r="D1587" s="57"/>
      <c r="F1587" s="57"/>
      <c r="G1587" s="57"/>
    </row>
    <row r="1588" spans="1:7" x14ac:dyDescent="0.2">
      <c r="A1588" s="70"/>
      <c r="B1588" s="57"/>
      <c r="C1588" s="57"/>
      <c r="D1588" s="57"/>
      <c r="F1588" s="57"/>
      <c r="G1588" s="57"/>
    </row>
    <row r="1589" spans="1:7" x14ac:dyDescent="0.2">
      <c r="A1589" s="70"/>
      <c r="B1589" s="57"/>
      <c r="C1589" s="57"/>
      <c r="D1589" s="57"/>
      <c r="F1589" s="57"/>
      <c r="G1589" s="57"/>
    </row>
    <row r="1590" spans="1:7" x14ac:dyDescent="0.2">
      <c r="A1590" s="70"/>
      <c r="B1590" s="57"/>
      <c r="C1590" s="57"/>
      <c r="D1590" s="57"/>
      <c r="F1590" s="57"/>
      <c r="G1590" s="57"/>
    </row>
    <row r="1591" spans="1:7" x14ac:dyDescent="0.2">
      <c r="A1591" s="70"/>
      <c r="B1591" s="57"/>
      <c r="C1591" s="57"/>
      <c r="D1591" s="57"/>
      <c r="F1591" s="57"/>
      <c r="G1591" s="57"/>
    </row>
    <row r="1592" spans="1:7" x14ac:dyDescent="0.2">
      <c r="A1592" s="70"/>
      <c r="B1592" s="57"/>
      <c r="C1592" s="57"/>
      <c r="D1592" s="57"/>
      <c r="F1592" s="57"/>
      <c r="G1592" s="57"/>
    </row>
    <row r="1593" spans="1:7" x14ac:dyDescent="0.2">
      <c r="A1593" s="70"/>
      <c r="B1593" s="57"/>
      <c r="C1593" s="57"/>
      <c r="D1593" s="57"/>
      <c r="F1593" s="57"/>
      <c r="G1593" s="57"/>
    </row>
    <row r="1594" spans="1:7" x14ac:dyDescent="0.2">
      <c r="A1594" s="70"/>
      <c r="B1594" s="57"/>
      <c r="C1594" s="57"/>
      <c r="D1594" s="57"/>
      <c r="F1594" s="57"/>
      <c r="G1594" s="57"/>
    </row>
    <row r="1595" spans="1:7" x14ac:dyDescent="0.2">
      <c r="A1595" s="70"/>
      <c r="B1595" s="57"/>
      <c r="C1595" s="57"/>
      <c r="D1595" s="57"/>
      <c r="F1595" s="57"/>
      <c r="G1595" s="57"/>
    </row>
    <row r="1596" spans="1:7" x14ac:dyDescent="0.2">
      <c r="A1596" s="70"/>
      <c r="B1596" s="57"/>
      <c r="C1596" s="57"/>
      <c r="D1596" s="57"/>
      <c r="F1596" s="57"/>
      <c r="G1596" s="57"/>
    </row>
    <row r="1597" spans="1:7" x14ac:dyDescent="0.2">
      <c r="A1597" s="70"/>
      <c r="B1597" s="57"/>
      <c r="C1597" s="57"/>
      <c r="D1597" s="57"/>
      <c r="F1597" s="57"/>
      <c r="G1597" s="57"/>
    </row>
    <row r="1598" spans="1:7" x14ac:dyDescent="0.2">
      <c r="A1598" s="70"/>
      <c r="B1598" s="57"/>
      <c r="C1598" s="57"/>
      <c r="D1598" s="57"/>
      <c r="F1598" s="57"/>
      <c r="G1598" s="57"/>
    </row>
    <row r="1599" spans="1:7" x14ac:dyDescent="0.2">
      <c r="A1599" s="70"/>
      <c r="B1599" s="57"/>
      <c r="C1599" s="57"/>
      <c r="D1599" s="57"/>
      <c r="F1599" s="57"/>
      <c r="G1599" s="57"/>
    </row>
    <row r="1600" spans="1:7" x14ac:dyDescent="0.2">
      <c r="A1600" s="70"/>
      <c r="B1600" s="57"/>
      <c r="C1600" s="57"/>
      <c r="D1600" s="57"/>
      <c r="F1600" s="57"/>
      <c r="G1600" s="57"/>
    </row>
    <row r="1601" spans="1:7" x14ac:dyDescent="0.2">
      <c r="A1601" s="70"/>
      <c r="B1601" s="57"/>
      <c r="C1601" s="57"/>
      <c r="D1601" s="57"/>
      <c r="F1601" s="57"/>
      <c r="G1601" s="57"/>
    </row>
    <row r="1602" spans="1:7" x14ac:dyDescent="0.2">
      <c r="A1602" s="70"/>
      <c r="B1602" s="57"/>
      <c r="C1602" s="57"/>
      <c r="D1602" s="57"/>
      <c r="F1602" s="57"/>
      <c r="G1602" s="57"/>
    </row>
    <row r="1603" spans="1:7" x14ac:dyDescent="0.2">
      <c r="A1603" s="70"/>
      <c r="B1603" s="57"/>
      <c r="C1603" s="57"/>
      <c r="D1603" s="57"/>
      <c r="F1603" s="57"/>
      <c r="G1603" s="57"/>
    </row>
    <row r="1604" spans="1:7" x14ac:dyDescent="0.2">
      <c r="A1604" s="70"/>
      <c r="B1604" s="57"/>
      <c r="C1604" s="57"/>
      <c r="D1604" s="57"/>
      <c r="F1604" s="57"/>
      <c r="G1604" s="57"/>
    </row>
    <row r="1605" spans="1:7" x14ac:dyDescent="0.2">
      <c r="A1605" s="70"/>
      <c r="B1605" s="57"/>
      <c r="C1605" s="57"/>
      <c r="D1605" s="57"/>
      <c r="F1605" s="57"/>
      <c r="G1605" s="57"/>
    </row>
    <row r="1606" spans="1:7" x14ac:dyDescent="0.2">
      <c r="A1606" s="70"/>
      <c r="B1606" s="57"/>
      <c r="C1606" s="57"/>
      <c r="D1606" s="57"/>
      <c r="F1606" s="57"/>
      <c r="G1606" s="57"/>
    </row>
    <row r="1607" spans="1:7" x14ac:dyDescent="0.2">
      <c r="A1607" s="70"/>
      <c r="B1607" s="57"/>
      <c r="C1607" s="57"/>
      <c r="D1607" s="57"/>
      <c r="F1607" s="57"/>
      <c r="G1607" s="57"/>
    </row>
    <row r="1608" spans="1:7" x14ac:dyDescent="0.2">
      <c r="A1608" s="70"/>
      <c r="B1608" s="57"/>
      <c r="C1608" s="57"/>
      <c r="D1608" s="57"/>
      <c r="F1608" s="57"/>
      <c r="G1608" s="57"/>
    </row>
    <row r="1609" spans="1:7" x14ac:dyDescent="0.2">
      <c r="A1609" s="70"/>
      <c r="B1609" s="57"/>
      <c r="C1609" s="57"/>
      <c r="D1609" s="57"/>
      <c r="F1609" s="57"/>
      <c r="G1609" s="57"/>
    </row>
    <row r="1610" spans="1:7" x14ac:dyDescent="0.2">
      <c r="A1610" s="70"/>
      <c r="B1610" s="57"/>
      <c r="C1610" s="57"/>
      <c r="D1610" s="57"/>
      <c r="F1610" s="57"/>
      <c r="G1610" s="57"/>
    </row>
    <row r="1611" spans="1:7" x14ac:dyDescent="0.2">
      <c r="A1611" s="70"/>
      <c r="B1611" s="57"/>
      <c r="C1611" s="57"/>
      <c r="D1611" s="57"/>
      <c r="F1611" s="57"/>
      <c r="G1611" s="57"/>
    </row>
    <row r="1612" spans="1:7" x14ac:dyDescent="0.2">
      <c r="A1612" s="70"/>
      <c r="B1612" s="57"/>
      <c r="C1612" s="57"/>
      <c r="D1612" s="57"/>
      <c r="F1612" s="57"/>
      <c r="G1612" s="57"/>
    </row>
    <row r="1613" spans="1:7" x14ac:dyDescent="0.2">
      <c r="A1613" s="70"/>
      <c r="B1613" s="57"/>
      <c r="C1613" s="57"/>
      <c r="D1613" s="57"/>
      <c r="F1613" s="57"/>
      <c r="G1613" s="57"/>
    </row>
    <row r="1614" spans="1:7" x14ac:dyDescent="0.2">
      <c r="A1614" s="70"/>
      <c r="B1614" s="57"/>
      <c r="C1614" s="57"/>
      <c r="D1614" s="57"/>
      <c r="F1614" s="57"/>
      <c r="G1614" s="57"/>
    </row>
    <row r="1615" spans="1:7" x14ac:dyDescent="0.2">
      <c r="A1615" s="70"/>
      <c r="B1615" s="57"/>
      <c r="C1615" s="57"/>
      <c r="D1615" s="57"/>
      <c r="F1615" s="57"/>
      <c r="G1615" s="57"/>
    </row>
    <row r="1616" spans="1:7" x14ac:dyDescent="0.2">
      <c r="A1616" s="70"/>
      <c r="B1616" s="57"/>
      <c r="C1616" s="57"/>
      <c r="D1616" s="57"/>
      <c r="F1616" s="57"/>
      <c r="G1616" s="57"/>
    </row>
    <row r="1617" spans="1:7" x14ac:dyDescent="0.2">
      <c r="A1617" s="70"/>
      <c r="B1617" s="57"/>
      <c r="C1617" s="57"/>
      <c r="D1617" s="57"/>
      <c r="F1617" s="57"/>
      <c r="G1617" s="57"/>
    </row>
    <row r="1618" spans="1:7" x14ac:dyDescent="0.2">
      <c r="A1618" s="70"/>
      <c r="B1618" s="57"/>
      <c r="C1618" s="57"/>
      <c r="D1618" s="57"/>
      <c r="F1618" s="57"/>
      <c r="G1618" s="57"/>
    </row>
    <row r="1619" spans="1:7" x14ac:dyDescent="0.2">
      <c r="A1619" s="70"/>
      <c r="B1619" s="57"/>
      <c r="C1619" s="57"/>
      <c r="D1619" s="57"/>
      <c r="F1619" s="57"/>
      <c r="G1619" s="57"/>
    </row>
    <row r="1620" spans="1:7" x14ac:dyDescent="0.2">
      <c r="A1620" s="70"/>
      <c r="B1620" s="57"/>
      <c r="C1620" s="57"/>
      <c r="D1620" s="57"/>
      <c r="F1620" s="57"/>
      <c r="G1620" s="57"/>
    </row>
    <row r="1621" spans="1:7" x14ac:dyDescent="0.2">
      <c r="A1621" s="70"/>
      <c r="B1621" s="57"/>
      <c r="C1621" s="57"/>
      <c r="D1621" s="57"/>
      <c r="F1621" s="57"/>
      <c r="G1621" s="57"/>
    </row>
    <row r="1622" spans="1:7" x14ac:dyDescent="0.2">
      <c r="A1622" s="70"/>
      <c r="B1622" s="57"/>
      <c r="C1622" s="57"/>
      <c r="D1622" s="57"/>
      <c r="F1622" s="57"/>
      <c r="G1622" s="57"/>
    </row>
    <row r="1623" spans="1:7" x14ac:dyDescent="0.2">
      <c r="A1623" s="70"/>
      <c r="B1623" s="57"/>
      <c r="C1623" s="57"/>
      <c r="D1623" s="57"/>
      <c r="F1623" s="57"/>
      <c r="G1623" s="57"/>
    </row>
    <row r="1624" spans="1:7" x14ac:dyDescent="0.2">
      <c r="A1624" s="70"/>
      <c r="B1624" s="57"/>
      <c r="C1624" s="57"/>
      <c r="D1624" s="57"/>
      <c r="F1624" s="57"/>
      <c r="G1624" s="57"/>
    </row>
    <row r="1625" spans="1:7" x14ac:dyDescent="0.2">
      <c r="A1625" s="70"/>
      <c r="B1625" s="57"/>
      <c r="C1625" s="57"/>
      <c r="D1625" s="57"/>
      <c r="F1625" s="57"/>
      <c r="G1625" s="57"/>
    </row>
    <row r="1626" spans="1:7" x14ac:dyDescent="0.2">
      <c r="A1626" s="70"/>
      <c r="B1626" s="57"/>
      <c r="C1626" s="57"/>
      <c r="D1626" s="57"/>
      <c r="F1626" s="57"/>
      <c r="G1626" s="57"/>
    </row>
    <row r="1627" spans="1:7" x14ac:dyDescent="0.2">
      <c r="A1627" s="70"/>
      <c r="B1627" s="57"/>
      <c r="C1627" s="57"/>
      <c r="D1627" s="57"/>
      <c r="F1627" s="57"/>
      <c r="G1627" s="57"/>
    </row>
    <row r="1628" spans="1:7" x14ac:dyDescent="0.2">
      <c r="A1628" s="70"/>
      <c r="B1628" s="57"/>
      <c r="C1628" s="57"/>
      <c r="D1628" s="57"/>
      <c r="F1628" s="57"/>
      <c r="G1628" s="57"/>
    </row>
    <row r="1629" spans="1:7" x14ac:dyDescent="0.2">
      <c r="A1629" s="70"/>
      <c r="B1629" s="57"/>
      <c r="C1629" s="57"/>
      <c r="D1629" s="57"/>
      <c r="F1629" s="57"/>
      <c r="G1629" s="57"/>
    </row>
    <row r="1630" spans="1:7" x14ac:dyDescent="0.2">
      <c r="A1630" s="70"/>
      <c r="B1630" s="57"/>
      <c r="C1630" s="57"/>
      <c r="D1630" s="57"/>
      <c r="F1630" s="57"/>
      <c r="G1630" s="57"/>
    </row>
    <row r="1631" spans="1:7" x14ac:dyDescent="0.2">
      <c r="A1631" s="70"/>
      <c r="B1631" s="57"/>
      <c r="C1631" s="57"/>
      <c r="D1631" s="57"/>
      <c r="F1631" s="57"/>
      <c r="G1631" s="57"/>
    </row>
    <row r="1632" spans="1:7" x14ac:dyDescent="0.2">
      <c r="A1632" s="70"/>
      <c r="B1632" s="57"/>
      <c r="C1632" s="57"/>
      <c r="D1632" s="57"/>
      <c r="F1632" s="57"/>
      <c r="G1632" s="57"/>
    </row>
    <row r="1633" spans="1:7" x14ac:dyDescent="0.2">
      <c r="A1633" s="70"/>
      <c r="B1633" s="57"/>
      <c r="C1633" s="57"/>
      <c r="D1633" s="57"/>
      <c r="F1633" s="57"/>
      <c r="G1633" s="57"/>
    </row>
    <row r="1634" spans="1:7" x14ac:dyDescent="0.2">
      <c r="A1634" s="70"/>
      <c r="B1634" s="57"/>
      <c r="C1634" s="57"/>
      <c r="D1634" s="57"/>
      <c r="F1634" s="57"/>
      <c r="G1634" s="57"/>
    </row>
    <row r="1635" spans="1:7" x14ac:dyDescent="0.2">
      <c r="A1635" s="70"/>
      <c r="B1635" s="57"/>
      <c r="C1635" s="57"/>
      <c r="D1635" s="57"/>
      <c r="F1635" s="57"/>
      <c r="G1635" s="57"/>
    </row>
    <row r="1636" spans="1:7" x14ac:dyDescent="0.2">
      <c r="A1636" s="70"/>
      <c r="B1636" s="57"/>
      <c r="C1636" s="57"/>
      <c r="D1636" s="57"/>
      <c r="F1636" s="57"/>
      <c r="G1636" s="57"/>
    </row>
    <row r="1637" spans="1:7" x14ac:dyDescent="0.2">
      <c r="A1637" s="70"/>
      <c r="B1637" s="57"/>
      <c r="C1637" s="57"/>
      <c r="D1637" s="57"/>
      <c r="F1637" s="57"/>
      <c r="G1637" s="57"/>
    </row>
    <row r="1638" spans="1:7" x14ac:dyDescent="0.2">
      <c r="A1638" s="70"/>
      <c r="B1638" s="57"/>
      <c r="C1638" s="57"/>
      <c r="D1638" s="57"/>
      <c r="F1638" s="57"/>
      <c r="G1638" s="57"/>
    </row>
    <row r="1639" spans="1:7" x14ac:dyDescent="0.2">
      <c r="A1639" s="70"/>
      <c r="B1639" s="57"/>
      <c r="C1639" s="57"/>
      <c r="D1639" s="57"/>
      <c r="F1639" s="57"/>
      <c r="G1639" s="57"/>
    </row>
    <row r="1640" spans="1:7" x14ac:dyDescent="0.2">
      <c r="A1640" s="70"/>
      <c r="B1640" s="57"/>
      <c r="C1640" s="57"/>
      <c r="D1640" s="57"/>
      <c r="F1640" s="57"/>
      <c r="G1640" s="57"/>
    </row>
    <row r="1641" spans="1:7" x14ac:dyDescent="0.2">
      <c r="A1641" s="70"/>
      <c r="B1641" s="57"/>
      <c r="C1641" s="57"/>
      <c r="D1641" s="57"/>
      <c r="F1641" s="57"/>
      <c r="G1641" s="57"/>
    </row>
    <row r="1642" spans="1:7" x14ac:dyDescent="0.2">
      <c r="A1642" s="70"/>
      <c r="B1642" s="57"/>
      <c r="C1642" s="57"/>
      <c r="D1642" s="57"/>
      <c r="F1642" s="57"/>
      <c r="G1642" s="57"/>
    </row>
    <row r="1643" spans="1:7" x14ac:dyDescent="0.2">
      <c r="A1643" s="70"/>
      <c r="B1643" s="57"/>
      <c r="C1643" s="57"/>
      <c r="D1643" s="57"/>
      <c r="F1643" s="57"/>
      <c r="G1643" s="57"/>
    </row>
    <row r="1644" spans="1:7" x14ac:dyDescent="0.2">
      <c r="A1644" s="70"/>
      <c r="B1644" s="57"/>
      <c r="C1644" s="57"/>
      <c r="D1644" s="57"/>
      <c r="F1644" s="57"/>
      <c r="G1644" s="57"/>
    </row>
    <row r="1645" spans="1:7" x14ac:dyDescent="0.2">
      <c r="A1645" s="70"/>
      <c r="B1645" s="57"/>
      <c r="C1645" s="57"/>
      <c r="D1645" s="57"/>
      <c r="F1645" s="57"/>
      <c r="G1645" s="57"/>
    </row>
    <row r="1646" spans="1:7" x14ac:dyDescent="0.2">
      <c r="A1646" s="70"/>
      <c r="B1646" s="57"/>
      <c r="C1646" s="57"/>
      <c r="D1646" s="57"/>
      <c r="F1646" s="57"/>
      <c r="G1646" s="57"/>
    </row>
    <row r="1647" spans="1:7" x14ac:dyDescent="0.2">
      <c r="A1647" s="70"/>
      <c r="B1647" s="57"/>
      <c r="C1647" s="57"/>
      <c r="D1647" s="57"/>
      <c r="F1647" s="57"/>
      <c r="G1647" s="57"/>
    </row>
    <row r="1648" spans="1:7" x14ac:dyDescent="0.2">
      <c r="A1648" s="70"/>
      <c r="B1648" s="57"/>
      <c r="C1648" s="57"/>
      <c r="D1648" s="57"/>
      <c r="F1648" s="57"/>
      <c r="G1648" s="57"/>
    </row>
    <row r="1649" spans="1:7" x14ac:dyDescent="0.2">
      <c r="A1649" s="70"/>
      <c r="B1649" s="57"/>
      <c r="C1649" s="57"/>
      <c r="D1649" s="57"/>
      <c r="F1649" s="57"/>
      <c r="G1649" s="57"/>
    </row>
    <row r="1650" spans="1:7" x14ac:dyDescent="0.2">
      <c r="A1650" s="70"/>
      <c r="B1650" s="57"/>
      <c r="C1650" s="57"/>
      <c r="D1650" s="57"/>
      <c r="F1650" s="57"/>
      <c r="G1650" s="57"/>
    </row>
    <row r="1651" spans="1:7" x14ac:dyDescent="0.2">
      <c r="A1651" s="70"/>
      <c r="B1651" s="57"/>
      <c r="C1651" s="57"/>
      <c r="D1651" s="57"/>
      <c r="F1651" s="57"/>
      <c r="G1651" s="57"/>
    </row>
    <row r="1652" spans="1:7" x14ac:dyDescent="0.2">
      <c r="A1652" s="70"/>
      <c r="B1652" s="57"/>
      <c r="C1652" s="57"/>
      <c r="D1652" s="57"/>
      <c r="F1652" s="57"/>
      <c r="G1652" s="57"/>
    </row>
    <row r="1653" spans="1:7" x14ac:dyDescent="0.2">
      <c r="A1653" s="70"/>
      <c r="B1653" s="57"/>
      <c r="C1653" s="57"/>
      <c r="D1653" s="57"/>
      <c r="F1653" s="57"/>
      <c r="G1653" s="57"/>
    </row>
    <row r="1654" spans="1:7" x14ac:dyDescent="0.2">
      <c r="A1654" s="70"/>
      <c r="B1654" s="57"/>
      <c r="C1654" s="57"/>
      <c r="D1654" s="57"/>
      <c r="F1654" s="57"/>
      <c r="G1654" s="57"/>
    </row>
    <row r="1655" spans="1:7" x14ac:dyDescent="0.2">
      <c r="A1655" s="70"/>
      <c r="B1655" s="57"/>
      <c r="C1655" s="57"/>
      <c r="D1655" s="57"/>
      <c r="F1655" s="57"/>
      <c r="G1655" s="57"/>
    </row>
    <row r="1656" spans="1:7" x14ac:dyDescent="0.2">
      <c r="A1656" s="70"/>
      <c r="B1656" s="57"/>
      <c r="C1656" s="57"/>
      <c r="D1656" s="57"/>
      <c r="F1656" s="57"/>
      <c r="G1656" s="57"/>
    </row>
    <row r="1657" spans="1:7" x14ac:dyDescent="0.2">
      <c r="A1657" s="70"/>
      <c r="B1657" s="57"/>
      <c r="C1657" s="57"/>
      <c r="D1657" s="57"/>
      <c r="F1657" s="57"/>
      <c r="G1657" s="57"/>
    </row>
    <row r="1658" spans="1:7" x14ac:dyDescent="0.2">
      <c r="A1658" s="70"/>
      <c r="B1658" s="57"/>
      <c r="C1658" s="57"/>
      <c r="D1658" s="57"/>
      <c r="F1658" s="57"/>
      <c r="G1658" s="57"/>
    </row>
    <row r="1659" spans="1:7" x14ac:dyDescent="0.2">
      <c r="A1659" s="70"/>
      <c r="B1659" s="57"/>
      <c r="C1659" s="57"/>
      <c r="D1659" s="57"/>
      <c r="F1659" s="57"/>
      <c r="G1659" s="57"/>
    </row>
    <row r="1660" spans="1:7" x14ac:dyDescent="0.2">
      <c r="A1660" s="70"/>
      <c r="B1660" s="57"/>
      <c r="C1660" s="57"/>
      <c r="D1660" s="57"/>
      <c r="F1660" s="57"/>
      <c r="G1660" s="57"/>
    </row>
    <row r="1661" spans="1:7" x14ac:dyDescent="0.2">
      <c r="A1661" s="70"/>
      <c r="B1661" s="57"/>
      <c r="C1661" s="57"/>
      <c r="D1661" s="57"/>
      <c r="F1661" s="57"/>
      <c r="G1661" s="57"/>
    </row>
    <row r="1662" spans="1:7" x14ac:dyDescent="0.2">
      <c r="A1662" s="70"/>
      <c r="B1662" s="57"/>
      <c r="C1662" s="57"/>
      <c r="D1662" s="57"/>
      <c r="F1662" s="57"/>
      <c r="G1662" s="57"/>
    </row>
    <row r="1663" spans="1:7" x14ac:dyDescent="0.2">
      <c r="A1663" s="70"/>
      <c r="B1663" s="57"/>
      <c r="C1663" s="57"/>
      <c r="D1663" s="57"/>
      <c r="F1663" s="57"/>
      <c r="G1663" s="57"/>
    </row>
    <row r="1664" spans="1:7" x14ac:dyDescent="0.2">
      <c r="A1664" s="70"/>
      <c r="B1664" s="57"/>
      <c r="C1664" s="57"/>
      <c r="D1664" s="57"/>
      <c r="F1664" s="57"/>
      <c r="G1664" s="57"/>
    </row>
    <row r="1665" spans="1:7" x14ac:dyDescent="0.2">
      <c r="A1665" s="70"/>
      <c r="B1665" s="57"/>
      <c r="C1665" s="57"/>
      <c r="D1665" s="57"/>
      <c r="F1665" s="57"/>
      <c r="G1665" s="57"/>
    </row>
    <row r="1666" spans="1:7" x14ac:dyDescent="0.2">
      <c r="A1666" s="70"/>
      <c r="B1666" s="57"/>
      <c r="C1666" s="57"/>
      <c r="D1666" s="57"/>
      <c r="F1666" s="57"/>
      <c r="G1666" s="57"/>
    </row>
    <row r="1667" spans="1:7" x14ac:dyDescent="0.2">
      <c r="A1667" s="70"/>
      <c r="B1667" s="57"/>
      <c r="C1667" s="57"/>
      <c r="D1667" s="57"/>
      <c r="F1667" s="57"/>
      <c r="G1667" s="57"/>
    </row>
    <row r="1668" spans="1:7" x14ac:dyDescent="0.2">
      <c r="A1668" s="70"/>
      <c r="B1668" s="57"/>
      <c r="C1668" s="57"/>
      <c r="D1668" s="57"/>
      <c r="F1668" s="57"/>
      <c r="G1668" s="57"/>
    </row>
    <row r="1669" spans="1:7" x14ac:dyDescent="0.2">
      <c r="A1669" s="70"/>
      <c r="B1669" s="57"/>
      <c r="C1669" s="57"/>
      <c r="D1669" s="57"/>
      <c r="F1669" s="57"/>
      <c r="G1669" s="57"/>
    </row>
    <row r="1670" spans="1:7" x14ac:dyDescent="0.2">
      <c r="A1670" s="70"/>
      <c r="B1670" s="57"/>
      <c r="C1670" s="57"/>
      <c r="D1670" s="57"/>
      <c r="F1670" s="57"/>
      <c r="G1670" s="57"/>
    </row>
    <row r="1671" spans="1:7" x14ac:dyDescent="0.2">
      <c r="A1671" s="70"/>
      <c r="B1671" s="57"/>
      <c r="C1671" s="57"/>
      <c r="D1671" s="57"/>
      <c r="F1671" s="57"/>
      <c r="G1671" s="57"/>
    </row>
    <row r="1672" spans="1:7" x14ac:dyDescent="0.2">
      <c r="A1672" s="70"/>
      <c r="B1672" s="57"/>
      <c r="C1672" s="57"/>
      <c r="D1672" s="57"/>
      <c r="F1672" s="57"/>
      <c r="G1672" s="57"/>
    </row>
    <row r="1673" spans="1:7" x14ac:dyDescent="0.2">
      <c r="A1673" s="70"/>
      <c r="B1673" s="57"/>
      <c r="C1673" s="57"/>
      <c r="D1673" s="57"/>
      <c r="F1673" s="57"/>
      <c r="G1673" s="57"/>
    </row>
    <row r="1674" spans="1:7" x14ac:dyDescent="0.2">
      <c r="A1674" s="70"/>
      <c r="B1674" s="57"/>
      <c r="C1674" s="57"/>
      <c r="D1674" s="57"/>
      <c r="F1674" s="57"/>
      <c r="G1674" s="57"/>
    </row>
    <row r="1675" spans="1:7" x14ac:dyDescent="0.2">
      <c r="A1675" s="70"/>
      <c r="B1675" s="57"/>
      <c r="C1675" s="57"/>
      <c r="D1675" s="57"/>
      <c r="F1675" s="57"/>
      <c r="G1675" s="57"/>
    </row>
    <row r="1676" spans="1:7" x14ac:dyDescent="0.2">
      <c r="A1676" s="70"/>
      <c r="B1676" s="57"/>
      <c r="C1676" s="57"/>
      <c r="D1676" s="57"/>
      <c r="F1676" s="57"/>
      <c r="G1676" s="57"/>
    </row>
    <row r="1677" spans="1:7" x14ac:dyDescent="0.2">
      <c r="A1677" s="70"/>
      <c r="B1677" s="57"/>
      <c r="C1677" s="57"/>
      <c r="D1677" s="57"/>
      <c r="F1677" s="57"/>
      <c r="G1677" s="57"/>
    </row>
    <row r="1678" spans="1:7" x14ac:dyDescent="0.2">
      <c r="A1678" s="70"/>
      <c r="B1678" s="57"/>
      <c r="C1678" s="57"/>
      <c r="D1678" s="57"/>
      <c r="F1678" s="57"/>
      <c r="G1678" s="57"/>
    </row>
    <row r="1679" spans="1:7" x14ac:dyDescent="0.2">
      <c r="A1679" s="70"/>
      <c r="B1679" s="57"/>
      <c r="C1679" s="57"/>
      <c r="D1679" s="57"/>
      <c r="F1679" s="57"/>
      <c r="G1679" s="57"/>
    </row>
    <row r="1680" spans="1:7" x14ac:dyDescent="0.2">
      <c r="A1680" s="70"/>
      <c r="B1680" s="57"/>
      <c r="C1680" s="57"/>
      <c r="D1680" s="57"/>
      <c r="F1680" s="57"/>
      <c r="G1680" s="57"/>
    </row>
    <row r="1681" spans="1:7" x14ac:dyDescent="0.2">
      <c r="A1681" s="70"/>
      <c r="B1681" s="57"/>
      <c r="C1681" s="57"/>
      <c r="D1681" s="57"/>
      <c r="F1681" s="57"/>
      <c r="G1681" s="57"/>
    </row>
    <row r="1682" spans="1:7" x14ac:dyDescent="0.2">
      <c r="A1682" s="70"/>
      <c r="B1682" s="57"/>
      <c r="C1682" s="57"/>
      <c r="D1682" s="57"/>
      <c r="F1682" s="57"/>
      <c r="G1682" s="57"/>
    </row>
    <row r="1683" spans="1:7" x14ac:dyDescent="0.2">
      <c r="A1683" s="70"/>
      <c r="B1683" s="57"/>
      <c r="C1683" s="57"/>
      <c r="D1683" s="57"/>
      <c r="F1683" s="57"/>
      <c r="G1683" s="57"/>
    </row>
    <row r="1684" spans="1:7" x14ac:dyDescent="0.2">
      <c r="A1684" s="70"/>
      <c r="B1684" s="57"/>
      <c r="C1684" s="57"/>
      <c r="D1684" s="57"/>
      <c r="F1684" s="57"/>
      <c r="G1684" s="57"/>
    </row>
    <row r="1685" spans="1:7" x14ac:dyDescent="0.2">
      <c r="A1685" s="70"/>
      <c r="B1685" s="57"/>
      <c r="C1685" s="57"/>
      <c r="D1685" s="57"/>
      <c r="F1685" s="57"/>
      <c r="G1685" s="57"/>
    </row>
    <row r="1686" spans="1:7" x14ac:dyDescent="0.2">
      <c r="A1686" s="70"/>
      <c r="B1686" s="57"/>
      <c r="C1686" s="57"/>
      <c r="D1686" s="57"/>
      <c r="F1686" s="57"/>
      <c r="G1686" s="57"/>
    </row>
    <row r="1687" spans="1:7" x14ac:dyDescent="0.2">
      <c r="A1687" s="70"/>
      <c r="B1687" s="57"/>
      <c r="C1687" s="57"/>
      <c r="D1687" s="57"/>
      <c r="F1687" s="57"/>
      <c r="G1687" s="57"/>
    </row>
    <row r="1688" spans="1:7" x14ac:dyDescent="0.2">
      <c r="A1688" s="70"/>
      <c r="B1688" s="57"/>
      <c r="C1688" s="57"/>
      <c r="D1688" s="57"/>
      <c r="F1688" s="57"/>
      <c r="G1688" s="57"/>
    </row>
    <row r="1689" spans="1:7" x14ac:dyDescent="0.2">
      <c r="A1689" s="70"/>
      <c r="B1689" s="57"/>
      <c r="C1689" s="57"/>
      <c r="D1689" s="57"/>
      <c r="F1689" s="57"/>
      <c r="G1689" s="57"/>
    </row>
    <row r="1690" spans="1:7" x14ac:dyDescent="0.2">
      <c r="A1690" s="70"/>
      <c r="B1690" s="57"/>
      <c r="C1690" s="57"/>
      <c r="D1690" s="57"/>
      <c r="F1690" s="57"/>
      <c r="G1690" s="57"/>
    </row>
    <row r="1691" spans="1:7" x14ac:dyDescent="0.2">
      <c r="A1691" s="70"/>
      <c r="B1691" s="57"/>
      <c r="C1691" s="57"/>
      <c r="D1691" s="57"/>
      <c r="F1691" s="57"/>
      <c r="G1691" s="57"/>
    </row>
    <row r="1692" spans="1:7" x14ac:dyDescent="0.2">
      <c r="A1692" s="70"/>
      <c r="B1692" s="57"/>
      <c r="C1692" s="57"/>
      <c r="D1692" s="57"/>
      <c r="F1692" s="57"/>
      <c r="G1692" s="57"/>
    </row>
    <row r="1693" spans="1:7" x14ac:dyDescent="0.2">
      <c r="A1693" s="70"/>
      <c r="B1693" s="57"/>
      <c r="C1693" s="57"/>
      <c r="D1693" s="57"/>
      <c r="F1693" s="57"/>
      <c r="G1693" s="57"/>
    </row>
    <row r="1694" spans="1:7" x14ac:dyDescent="0.2">
      <c r="A1694" s="70"/>
      <c r="B1694" s="57"/>
      <c r="C1694" s="57"/>
      <c r="D1694" s="57"/>
      <c r="F1694" s="57"/>
      <c r="G1694" s="57"/>
    </row>
    <row r="1695" spans="1:7" x14ac:dyDescent="0.2">
      <c r="A1695" s="70"/>
      <c r="B1695" s="57"/>
      <c r="C1695" s="57"/>
      <c r="D1695" s="57"/>
      <c r="F1695" s="57"/>
      <c r="G1695" s="57"/>
    </row>
    <row r="1696" spans="1:7" x14ac:dyDescent="0.2">
      <c r="A1696" s="70"/>
      <c r="B1696" s="57"/>
      <c r="C1696" s="57"/>
      <c r="D1696" s="57"/>
      <c r="F1696" s="57"/>
      <c r="G1696" s="57"/>
    </row>
    <row r="1697" spans="1:7" x14ac:dyDescent="0.2">
      <c r="A1697" s="70"/>
      <c r="B1697" s="57"/>
      <c r="C1697" s="57"/>
      <c r="D1697" s="57"/>
      <c r="F1697" s="57"/>
      <c r="G1697" s="57"/>
    </row>
    <row r="1698" spans="1:7" x14ac:dyDescent="0.2">
      <c r="A1698" s="70"/>
      <c r="B1698" s="57"/>
      <c r="C1698" s="57"/>
      <c r="D1698" s="57"/>
      <c r="F1698" s="57"/>
      <c r="G1698" s="57"/>
    </row>
    <row r="1699" spans="1:7" x14ac:dyDescent="0.2">
      <c r="A1699" s="70"/>
      <c r="B1699" s="57"/>
      <c r="C1699" s="57"/>
      <c r="D1699" s="57"/>
      <c r="F1699" s="57"/>
      <c r="G1699" s="57"/>
    </row>
    <row r="1700" spans="1:7" x14ac:dyDescent="0.2">
      <c r="A1700" s="70"/>
      <c r="B1700" s="57"/>
      <c r="C1700" s="57"/>
      <c r="D1700" s="57"/>
      <c r="F1700" s="57"/>
      <c r="G1700" s="57"/>
    </row>
    <row r="1701" spans="1:7" x14ac:dyDescent="0.2">
      <c r="A1701" s="70"/>
      <c r="B1701" s="57"/>
      <c r="C1701" s="57"/>
      <c r="D1701" s="57"/>
      <c r="F1701" s="57"/>
      <c r="G1701" s="57"/>
    </row>
    <row r="1702" spans="1:7" x14ac:dyDescent="0.2">
      <c r="A1702" s="70"/>
      <c r="B1702" s="57"/>
      <c r="C1702" s="57"/>
      <c r="D1702" s="57"/>
      <c r="F1702" s="57"/>
      <c r="G1702" s="57"/>
    </row>
    <row r="1703" spans="1:7" x14ac:dyDescent="0.2">
      <c r="A1703" s="70"/>
      <c r="B1703" s="57"/>
      <c r="C1703" s="57"/>
      <c r="D1703" s="57"/>
      <c r="F1703" s="57"/>
      <c r="G1703" s="57"/>
    </row>
    <row r="1704" spans="1:7" x14ac:dyDescent="0.2">
      <c r="A1704" s="70"/>
      <c r="B1704" s="57"/>
      <c r="C1704" s="57"/>
      <c r="D1704" s="57"/>
      <c r="F1704" s="57"/>
      <c r="G1704" s="57"/>
    </row>
    <row r="1705" spans="1:7" x14ac:dyDescent="0.2">
      <c r="A1705" s="70"/>
      <c r="B1705" s="57"/>
      <c r="C1705" s="57"/>
      <c r="D1705" s="57"/>
      <c r="F1705" s="57"/>
      <c r="G1705" s="57"/>
    </row>
    <row r="1706" spans="1:7" x14ac:dyDescent="0.2">
      <c r="A1706" s="70"/>
      <c r="B1706" s="57"/>
      <c r="C1706" s="57"/>
      <c r="D1706" s="57"/>
      <c r="F1706" s="57"/>
      <c r="G1706" s="57"/>
    </row>
    <row r="1707" spans="1:7" x14ac:dyDescent="0.2">
      <c r="A1707" s="70"/>
      <c r="B1707" s="57"/>
      <c r="C1707" s="57"/>
      <c r="D1707" s="57"/>
      <c r="F1707" s="57"/>
      <c r="G1707" s="57"/>
    </row>
    <row r="1708" spans="1:7" x14ac:dyDescent="0.2">
      <c r="A1708" s="70"/>
      <c r="B1708" s="57"/>
      <c r="C1708" s="57"/>
      <c r="D1708" s="57"/>
      <c r="F1708" s="57"/>
      <c r="G1708" s="57"/>
    </row>
    <row r="1709" spans="1:7" x14ac:dyDescent="0.2">
      <c r="A1709" s="70"/>
      <c r="B1709" s="57"/>
      <c r="C1709" s="57"/>
      <c r="D1709" s="57"/>
      <c r="F1709" s="57"/>
      <c r="G1709" s="57"/>
    </row>
    <row r="1710" spans="1:7" x14ac:dyDescent="0.2">
      <c r="A1710" s="70"/>
      <c r="B1710" s="57"/>
      <c r="C1710" s="57"/>
      <c r="D1710" s="57"/>
      <c r="F1710" s="57"/>
      <c r="G1710" s="57"/>
    </row>
    <row r="1711" spans="1:7" x14ac:dyDescent="0.2">
      <c r="A1711" s="70"/>
      <c r="B1711" s="57"/>
      <c r="C1711" s="57"/>
      <c r="D1711" s="57"/>
      <c r="F1711" s="57"/>
      <c r="G1711" s="57"/>
    </row>
    <row r="1712" spans="1:7" x14ac:dyDescent="0.2">
      <c r="A1712" s="70"/>
      <c r="B1712" s="57"/>
      <c r="C1712" s="57"/>
      <c r="D1712" s="57"/>
      <c r="F1712" s="57"/>
      <c r="G1712" s="57"/>
    </row>
    <row r="1713" spans="1:7" x14ac:dyDescent="0.2">
      <c r="A1713" s="70"/>
      <c r="B1713" s="57"/>
      <c r="C1713" s="57"/>
      <c r="D1713" s="57"/>
      <c r="F1713" s="57"/>
      <c r="G1713" s="57"/>
    </row>
    <row r="1714" spans="1:7" x14ac:dyDescent="0.2">
      <c r="A1714" s="70"/>
      <c r="B1714" s="57"/>
      <c r="C1714" s="57"/>
      <c r="D1714" s="57"/>
      <c r="F1714" s="57"/>
      <c r="G1714" s="57"/>
    </row>
    <row r="1715" spans="1:7" x14ac:dyDescent="0.2">
      <c r="A1715" s="70"/>
      <c r="B1715" s="57"/>
      <c r="C1715" s="57"/>
      <c r="D1715" s="57"/>
      <c r="F1715" s="57"/>
      <c r="G1715" s="57"/>
    </row>
    <row r="1716" spans="1:7" x14ac:dyDescent="0.2">
      <c r="A1716" s="70"/>
      <c r="B1716" s="57"/>
      <c r="C1716" s="57"/>
      <c r="D1716" s="57"/>
      <c r="F1716" s="57"/>
      <c r="G1716" s="57"/>
    </row>
    <row r="1717" spans="1:7" x14ac:dyDescent="0.2">
      <c r="A1717" s="70"/>
      <c r="B1717" s="57"/>
      <c r="C1717" s="57"/>
      <c r="D1717" s="57"/>
      <c r="F1717" s="57"/>
      <c r="G1717" s="57"/>
    </row>
    <row r="1718" spans="1:7" x14ac:dyDescent="0.2">
      <c r="A1718" s="70"/>
      <c r="B1718" s="57"/>
      <c r="C1718" s="57"/>
      <c r="D1718" s="57"/>
      <c r="F1718" s="57"/>
      <c r="G1718" s="57"/>
    </row>
    <row r="1719" spans="1:7" x14ac:dyDescent="0.2">
      <c r="A1719" s="70"/>
      <c r="B1719" s="57"/>
      <c r="C1719" s="57"/>
      <c r="D1719" s="57"/>
      <c r="F1719" s="57"/>
      <c r="G1719" s="57"/>
    </row>
    <row r="1720" spans="1:7" x14ac:dyDescent="0.2">
      <c r="A1720" s="70"/>
      <c r="B1720" s="57"/>
      <c r="C1720" s="57"/>
      <c r="D1720" s="57"/>
      <c r="F1720" s="57"/>
      <c r="G1720" s="57"/>
    </row>
    <row r="1721" spans="1:7" x14ac:dyDescent="0.2">
      <c r="A1721" s="70"/>
      <c r="B1721" s="57"/>
      <c r="C1721" s="57"/>
      <c r="D1721" s="57"/>
      <c r="F1721" s="57"/>
      <c r="G1721" s="57"/>
    </row>
    <row r="1722" spans="1:7" x14ac:dyDescent="0.2">
      <c r="A1722" s="70"/>
      <c r="B1722" s="57"/>
      <c r="C1722" s="57"/>
      <c r="D1722" s="57"/>
      <c r="F1722" s="57"/>
      <c r="G1722" s="57"/>
    </row>
    <row r="1723" spans="1:7" x14ac:dyDescent="0.2">
      <c r="A1723" s="70"/>
      <c r="B1723" s="57"/>
      <c r="C1723" s="57"/>
      <c r="D1723" s="57"/>
      <c r="F1723" s="57"/>
      <c r="G1723" s="57"/>
    </row>
    <row r="1724" spans="1:7" x14ac:dyDescent="0.2">
      <c r="A1724" s="70"/>
      <c r="B1724" s="57"/>
      <c r="C1724" s="57"/>
      <c r="D1724" s="57"/>
      <c r="F1724" s="57"/>
      <c r="G1724" s="57"/>
    </row>
    <row r="1725" spans="1:7" x14ac:dyDescent="0.2">
      <c r="A1725" s="70"/>
      <c r="B1725" s="57"/>
      <c r="C1725" s="57"/>
      <c r="D1725" s="57"/>
      <c r="F1725" s="57"/>
      <c r="G1725" s="57"/>
    </row>
    <row r="1726" spans="1:7" x14ac:dyDescent="0.2">
      <c r="A1726" s="70"/>
      <c r="B1726" s="57"/>
      <c r="C1726" s="57"/>
      <c r="D1726" s="57"/>
      <c r="F1726" s="57"/>
      <c r="G1726" s="57"/>
    </row>
    <row r="1727" spans="1:7" x14ac:dyDescent="0.2">
      <c r="A1727" s="70"/>
      <c r="B1727" s="57"/>
      <c r="C1727" s="57"/>
      <c r="D1727" s="57"/>
      <c r="F1727" s="57"/>
      <c r="G1727" s="57"/>
    </row>
    <row r="1728" spans="1:7" x14ac:dyDescent="0.2">
      <c r="A1728" s="70"/>
      <c r="B1728" s="57"/>
      <c r="C1728" s="57"/>
      <c r="D1728" s="57"/>
      <c r="F1728" s="57"/>
      <c r="G1728" s="57"/>
    </row>
    <row r="1729" spans="1:7" x14ac:dyDescent="0.2">
      <c r="A1729" s="70"/>
      <c r="B1729" s="57"/>
      <c r="C1729" s="57"/>
      <c r="D1729" s="57"/>
      <c r="F1729" s="57"/>
      <c r="G1729" s="57"/>
    </row>
    <row r="1730" spans="1:7" x14ac:dyDescent="0.2">
      <c r="A1730" s="70"/>
      <c r="B1730" s="57"/>
      <c r="C1730" s="57"/>
      <c r="D1730" s="57"/>
      <c r="F1730" s="57"/>
      <c r="G1730" s="57"/>
    </row>
    <row r="1731" spans="1:7" x14ac:dyDescent="0.2">
      <c r="A1731" s="70"/>
      <c r="B1731" s="57"/>
      <c r="C1731" s="57"/>
      <c r="D1731" s="57"/>
      <c r="F1731" s="57"/>
      <c r="G1731" s="57"/>
    </row>
    <row r="1732" spans="1:7" x14ac:dyDescent="0.2">
      <c r="A1732" s="70"/>
      <c r="B1732" s="57"/>
      <c r="C1732" s="57"/>
      <c r="D1732" s="57"/>
      <c r="F1732" s="57"/>
      <c r="G1732" s="57"/>
    </row>
    <row r="1733" spans="1:7" x14ac:dyDescent="0.2">
      <c r="A1733" s="70"/>
      <c r="B1733" s="57"/>
      <c r="C1733" s="57"/>
      <c r="D1733" s="57"/>
      <c r="F1733" s="57"/>
      <c r="G1733" s="57"/>
    </row>
    <row r="1734" spans="1:7" x14ac:dyDescent="0.2">
      <c r="A1734" s="70"/>
      <c r="B1734" s="57"/>
      <c r="C1734" s="57"/>
      <c r="D1734" s="57"/>
      <c r="F1734" s="57"/>
      <c r="G1734" s="57"/>
    </row>
    <row r="1735" spans="1:7" x14ac:dyDescent="0.2">
      <c r="A1735" s="70"/>
      <c r="B1735" s="57"/>
      <c r="C1735" s="57"/>
      <c r="D1735" s="57"/>
      <c r="F1735" s="57"/>
      <c r="G1735" s="57"/>
    </row>
    <row r="1736" spans="1:7" x14ac:dyDescent="0.2">
      <c r="A1736" s="70"/>
      <c r="B1736" s="57"/>
      <c r="C1736" s="57"/>
      <c r="D1736" s="57"/>
      <c r="F1736" s="57"/>
      <c r="G1736" s="57"/>
    </row>
    <row r="1737" spans="1:7" x14ac:dyDescent="0.2">
      <c r="A1737" s="70"/>
      <c r="B1737" s="57"/>
      <c r="C1737" s="57"/>
      <c r="D1737" s="57"/>
      <c r="F1737" s="57"/>
      <c r="G1737" s="57"/>
    </row>
    <row r="1738" spans="1:7" x14ac:dyDescent="0.2">
      <c r="A1738" s="70"/>
      <c r="B1738" s="57"/>
      <c r="C1738" s="57"/>
      <c r="D1738" s="57"/>
      <c r="F1738" s="57"/>
      <c r="G1738" s="57"/>
    </row>
    <row r="1739" spans="1:7" x14ac:dyDescent="0.2">
      <c r="A1739" s="70"/>
      <c r="B1739" s="57"/>
      <c r="C1739" s="57"/>
      <c r="D1739" s="57"/>
      <c r="F1739" s="57"/>
      <c r="G1739" s="57"/>
    </row>
    <row r="1740" spans="1:7" x14ac:dyDescent="0.2">
      <c r="A1740" s="70"/>
      <c r="B1740" s="57"/>
      <c r="C1740" s="57"/>
      <c r="D1740" s="57"/>
      <c r="F1740" s="57"/>
      <c r="G1740" s="57"/>
    </row>
    <row r="1741" spans="1:7" x14ac:dyDescent="0.2">
      <c r="A1741" s="70"/>
      <c r="B1741" s="57"/>
      <c r="C1741" s="57"/>
      <c r="D1741" s="57"/>
      <c r="F1741" s="57"/>
      <c r="G1741" s="57"/>
    </row>
    <row r="1742" spans="1:7" x14ac:dyDescent="0.2">
      <c r="A1742" s="70"/>
      <c r="B1742" s="57"/>
      <c r="C1742" s="57"/>
      <c r="D1742" s="57"/>
      <c r="F1742" s="57"/>
      <c r="G1742" s="57"/>
    </row>
    <row r="1743" spans="1:7" x14ac:dyDescent="0.2">
      <c r="A1743" s="70"/>
      <c r="B1743" s="57"/>
      <c r="C1743" s="57"/>
      <c r="D1743" s="57"/>
      <c r="F1743" s="57"/>
      <c r="G1743" s="57"/>
    </row>
    <row r="1744" spans="1:7" x14ac:dyDescent="0.2">
      <c r="A1744" s="70"/>
      <c r="B1744" s="57"/>
      <c r="C1744" s="57"/>
      <c r="D1744" s="57"/>
      <c r="F1744" s="57"/>
      <c r="G1744" s="57"/>
    </row>
    <row r="1745" spans="1:7" x14ac:dyDescent="0.2">
      <c r="A1745" s="70"/>
      <c r="B1745" s="57"/>
      <c r="C1745" s="57"/>
      <c r="D1745" s="57"/>
      <c r="F1745" s="57"/>
      <c r="G1745" s="57"/>
    </row>
    <row r="1746" spans="1:7" x14ac:dyDescent="0.2">
      <c r="A1746" s="70"/>
      <c r="B1746" s="57"/>
      <c r="C1746" s="57"/>
      <c r="D1746" s="57"/>
      <c r="F1746" s="57"/>
      <c r="G1746" s="57"/>
    </row>
    <row r="1747" spans="1:7" x14ac:dyDescent="0.2">
      <c r="A1747" s="70"/>
      <c r="B1747" s="57"/>
      <c r="C1747" s="57"/>
      <c r="D1747" s="57"/>
      <c r="F1747" s="57"/>
      <c r="G1747" s="57"/>
    </row>
    <row r="1748" spans="1:7" x14ac:dyDescent="0.2">
      <c r="A1748" s="70"/>
      <c r="B1748" s="57"/>
      <c r="C1748" s="57"/>
      <c r="D1748" s="57"/>
      <c r="F1748" s="57"/>
      <c r="G1748" s="57"/>
    </row>
    <row r="1749" spans="1:7" x14ac:dyDescent="0.2">
      <c r="A1749" s="70"/>
      <c r="B1749" s="57"/>
      <c r="C1749" s="57"/>
      <c r="D1749" s="57"/>
      <c r="F1749" s="57"/>
      <c r="G1749" s="57"/>
    </row>
    <row r="1750" spans="1:7" x14ac:dyDescent="0.2">
      <c r="A1750" s="70"/>
      <c r="B1750" s="57"/>
      <c r="C1750" s="57"/>
      <c r="D1750" s="57"/>
      <c r="F1750" s="57"/>
      <c r="G1750" s="57"/>
    </row>
    <row r="1751" spans="1:7" x14ac:dyDescent="0.2">
      <c r="A1751" s="70"/>
      <c r="B1751" s="57"/>
      <c r="C1751" s="57"/>
      <c r="D1751" s="57"/>
      <c r="F1751" s="57"/>
      <c r="G1751" s="57"/>
    </row>
    <row r="1752" spans="1:7" x14ac:dyDescent="0.2">
      <c r="A1752" s="70"/>
      <c r="B1752" s="57"/>
      <c r="C1752" s="57"/>
      <c r="D1752" s="57"/>
      <c r="F1752" s="57"/>
      <c r="G1752" s="57"/>
    </row>
    <row r="1753" spans="1:7" x14ac:dyDescent="0.2">
      <c r="A1753" s="70"/>
      <c r="B1753" s="57"/>
      <c r="C1753" s="57"/>
      <c r="D1753" s="57"/>
      <c r="F1753" s="57"/>
      <c r="G1753" s="57"/>
    </row>
    <row r="1754" spans="1:7" x14ac:dyDescent="0.2">
      <c r="A1754" s="70"/>
      <c r="B1754" s="57"/>
      <c r="C1754" s="57"/>
      <c r="D1754" s="57"/>
      <c r="F1754" s="57"/>
      <c r="G1754" s="57"/>
    </row>
    <row r="1755" spans="1:7" x14ac:dyDescent="0.2">
      <c r="A1755" s="70"/>
      <c r="B1755" s="57"/>
      <c r="C1755" s="57"/>
      <c r="D1755" s="57"/>
      <c r="F1755" s="57"/>
      <c r="G1755" s="57"/>
    </row>
    <row r="1756" spans="1:7" x14ac:dyDescent="0.2">
      <c r="A1756" s="70"/>
      <c r="B1756" s="57"/>
      <c r="C1756" s="57"/>
      <c r="D1756" s="57"/>
      <c r="F1756" s="57"/>
      <c r="G1756" s="57"/>
    </row>
    <row r="1757" spans="1:7" x14ac:dyDescent="0.2">
      <c r="A1757" s="70"/>
      <c r="B1757" s="57"/>
      <c r="C1757" s="57"/>
      <c r="D1757" s="57"/>
      <c r="F1757" s="57"/>
      <c r="G1757" s="57"/>
    </row>
    <row r="1758" spans="1:7" x14ac:dyDescent="0.2">
      <c r="A1758" s="70"/>
      <c r="B1758" s="57"/>
      <c r="C1758" s="57"/>
      <c r="D1758" s="57"/>
      <c r="F1758" s="57"/>
      <c r="G1758" s="57"/>
    </row>
    <row r="1759" spans="1:7" x14ac:dyDescent="0.2">
      <c r="A1759" s="70"/>
      <c r="B1759" s="57"/>
      <c r="C1759" s="57"/>
      <c r="D1759" s="57"/>
      <c r="F1759" s="57"/>
      <c r="G1759" s="57"/>
    </row>
    <row r="1760" spans="1:7" x14ac:dyDescent="0.2">
      <c r="A1760" s="70"/>
      <c r="B1760" s="57"/>
      <c r="C1760" s="57"/>
      <c r="D1760" s="57"/>
      <c r="F1760" s="57"/>
      <c r="G1760" s="57"/>
    </row>
    <row r="1761" spans="1:7" x14ac:dyDescent="0.2">
      <c r="A1761" s="70"/>
      <c r="B1761" s="57"/>
      <c r="C1761" s="57"/>
      <c r="D1761" s="57"/>
      <c r="F1761" s="57"/>
      <c r="G1761" s="57"/>
    </row>
    <row r="1762" spans="1:7" x14ac:dyDescent="0.2">
      <c r="A1762" s="70"/>
      <c r="B1762" s="57"/>
      <c r="C1762" s="57"/>
      <c r="D1762" s="57"/>
      <c r="F1762" s="57"/>
      <c r="G1762" s="57"/>
    </row>
    <row r="1763" spans="1:7" x14ac:dyDescent="0.2">
      <c r="A1763" s="70"/>
      <c r="B1763" s="57"/>
      <c r="C1763" s="57"/>
      <c r="D1763" s="57"/>
      <c r="F1763" s="57"/>
      <c r="G1763" s="57"/>
    </row>
    <row r="1764" spans="1:7" x14ac:dyDescent="0.2">
      <c r="A1764" s="70"/>
      <c r="B1764" s="57"/>
      <c r="C1764" s="57"/>
      <c r="D1764" s="57"/>
      <c r="F1764" s="57"/>
      <c r="G1764" s="57"/>
    </row>
    <row r="1765" spans="1:7" x14ac:dyDescent="0.2">
      <c r="A1765" s="70"/>
      <c r="B1765" s="57"/>
      <c r="C1765" s="57"/>
      <c r="D1765" s="57"/>
      <c r="F1765" s="57"/>
      <c r="G1765" s="57"/>
    </row>
    <row r="1766" spans="1:7" x14ac:dyDescent="0.2">
      <c r="A1766" s="70"/>
      <c r="B1766" s="57"/>
      <c r="C1766" s="57"/>
      <c r="D1766" s="57"/>
      <c r="F1766" s="57"/>
      <c r="G1766" s="57"/>
    </row>
    <row r="1767" spans="1:7" x14ac:dyDescent="0.2">
      <c r="A1767" s="70"/>
      <c r="B1767" s="57"/>
      <c r="C1767" s="57"/>
      <c r="D1767" s="57"/>
      <c r="F1767" s="57"/>
      <c r="G1767" s="57"/>
    </row>
    <row r="1768" spans="1:7" x14ac:dyDescent="0.2">
      <c r="A1768" s="70"/>
      <c r="B1768" s="57"/>
      <c r="C1768" s="57"/>
      <c r="D1768" s="57"/>
      <c r="F1768" s="57"/>
      <c r="G1768" s="57"/>
    </row>
    <row r="1769" spans="1:7" x14ac:dyDescent="0.2">
      <c r="A1769" s="70"/>
      <c r="B1769" s="57"/>
      <c r="C1769" s="57"/>
      <c r="D1769" s="57"/>
      <c r="F1769" s="57"/>
      <c r="G1769" s="57"/>
    </row>
    <row r="1770" spans="1:7" x14ac:dyDescent="0.2">
      <c r="A1770" s="70"/>
      <c r="B1770" s="57"/>
      <c r="C1770" s="57"/>
      <c r="D1770" s="57"/>
      <c r="F1770" s="57"/>
      <c r="G1770" s="57"/>
    </row>
    <row r="1771" spans="1:7" x14ac:dyDescent="0.2">
      <c r="A1771" s="70"/>
      <c r="B1771" s="57"/>
      <c r="C1771" s="57"/>
      <c r="D1771" s="57"/>
      <c r="F1771" s="57"/>
      <c r="G1771" s="57"/>
    </row>
    <row r="1772" spans="1:7" x14ac:dyDescent="0.2">
      <c r="A1772" s="70"/>
      <c r="B1772" s="57"/>
      <c r="C1772" s="57"/>
      <c r="D1772" s="57"/>
      <c r="F1772" s="57"/>
      <c r="G1772" s="57"/>
    </row>
    <row r="1773" spans="1:7" x14ac:dyDescent="0.2">
      <c r="A1773" s="70"/>
      <c r="B1773" s="57"/>
      <c r="C1773" s="57"/>
      <c r="D1773" s="57"/>
      <c r="F1773" s="57"/>
      <c r="G1773" s="57"/>
    </row>
    <row r="1774" spans="1:7" x14ac:dyDescent="0.2">
      <c r="A1774" s="70"/>
      <c r="B1774" s="57"/>
      <c r="C1774" s="57"/>
      <c r="D1774" s="57"/>
      <c r="F1774" s="57"/>
      <c r="G1774" s="57"/>
    </row>
    <row r="1775" spans="1:7" x14ac:dyDescent="0.2">
      <c r="A1775" s="70"/>
      <c r="B1775" s="57"/>
      <c r="C1775" s="57"/>
      <c r="D1775" s="57"/>
      <c r="F1775" s="57"/>
      <c r="G1775" s="57"/>
    </row>
    <row r="1776" spans="1:7" x14ac:dyDescent="0.2">
      <c r="A1776" s="70"/>
      <c r="B1776" s="57"/>
      <c r="C1776" s="57"/>
      <c r="D1776" s="57"/>
      <c r="F1776" s="57"/>
      <c r="G1776" s="57"/>
    </row>
    <row r="1777" spans="1:7" x14ac:dyDescent="0.2">
      <c r="A1777" s="70"/>
      <c r="B1777" s="57"/>
      <c r="C1777" s="57"/>
      <c r="D1777" s="57"/>
      <c r="F1777" s="57"/>
      <c r="G1777" s="57"/>
    </row>
    <row r="1778" spans="1:7" x14ac:dyDescent="0.2">
      <c r="A1778" s="70"/>
      <c r="B1778" s="57"/>
      <c r="C1778" s="57"/>
      <c r="D1778" s="57"/>
      <c r="F1778" s="57"/>
      <c r="G1778" s="57"/>
    </row>
    <row r="1779" spans="1:7" x14ac:dyDescent="0.2">
      <c r="A1779" s="70"/>
      <c r="B1779" s="57"/>
      <c r="C1779" s="57"/>
      <c r="D1779" s="57"/>
      <c r="F1779" s="57"/>
      <c r="G1779" s="57"/>
    </row>
    <row r="1780" spans="1:7" x14ac:dyDescent="0.2">
      <c r="A1780" s="70"/>
      <c r="B1780" s="57"/>
      <c r="C1780" s="57"/>
      <c r="D1780" s="57"/>
      <c r="F1780" s="57"/>
      <c r="G1780" s="57"/>
    </row>
    <row r="1781" spans="1:7" x14ac:dyDescent="0.2">
      <c r="A1781" s="70"/>
      <c r="B1781" s="57"/>
      <c r="C1781" s="57"/>
      <c r="D1781" s="57"/>
      <c r="F1781" s="57"/>
      <c r="G1781" s="57"/>
    </row>
    <row r="1782" spans="1:7" x14ac:dyDescent="0.2">
      <c r="A1782" s="70"/>
      <c r="B1782" s="57"/>
      <c r="C1782" s="57"/>
      <c r="D1782" s="57"/>
      <c r="F1782" s="57"/>
      <c r="G1782" s="57"/>
    </row>
    <row r="1783" spans="1:7" x14ac:dyDescent="0.2">
      <c r="A1783" s="70"/>
      <c r="B1783" s="57"/>
      <c r="C1783" s="57"/>
      <c r="D1783" s="57"/>
      <c r="F1783" s="57"/>
      <c r="G1783" s="57"/>
    </row>
    <row r="1784" spans="1:7" x14ac:dyDescent="0.2">
      <c r="A1784" s="70"/>
      <c r="B1784" s="57"/>
      <c r="C1784" s="57"/>
      <c r="D1784" s="57"/>
      <c r="F1784" s="57"/>
      <c r="G1784" s="57"/>
    </row>
    <row r="1785" spans="1:7" x14ac:dyDescent="0.2">
      <c r="A1785" s="70"/>
      <c r="B1785" s="57"/>
      <c r="C1785" s="57"/>
      <c r="D1785" s="57"/>
      <c r="F1785" s="57"/>
      <c r="G1785" s="57"/>
    </row>
    <row r="1786" spans="1:7" x14ac:dyDescent="0.2">
      <c r="A1786" s="70"/>
      <c r="B1786" s="57"/>
      <c r="C1786" s="57"/>
      <c r="D1786" s="57"/>
      <c r="F1786" s="57"/>
      <c r="G1786" s="57"/>
    </row>
    <row r="1787" spans="1:7" x14ac:dyDescent="0.2">
      <c r="A1787" s="70"/>
      <c r="B1787" s="57"/>
      <c r="C1787" s="57"/>
      <c r="D1787" s="57"/>
      <c r="F1787" s="57"/>
      <c r="G1787" s="57"/>
    </row>
    <row r="1788" spans="1:7" x14ac:dyDescent="0.2">
      <c r="A1788" s="70"/>
      <c r="B1788" s="57"/>
      <c r="C1788" s="57"/>
      <c r="D1788" s="57"/>
      <c r="F1788" s="57"/>
      <c r="G1788" s="57"/>
    </row>
    <row r="1789" spans="1:7" x14ac:dyDescent="0.2">
      <c r="A1789" s="70"/>
      <c r="B1789" s="57"/>
      <c r="C1789" s="57"/>
      <c r="D1789" s="57"/>
      <c r="F1789" s="57"/>
      <c r="G1789" s="57"/>
    </row>
    <row r="1790" spans="1:7" x14ac:dyDescent="0.2">
      <c r="A1790" s="70"/>
      <c r="B1790" s="57"/>
      <c r="C1790" s="57"/>
      <c r="D1790" s="57"/>
      <c r="F1790" s="57"/>
      <c r="G1790" s="57"/>
    </row>
    <row r="1791" spans="1:7" x14ac:dyDescent="0.2">
      <c r="A1791" s="70"/>
      <c r="B1791" s="57"/>
      <c r="C1791" s="57"/>
      <c r="D1791" s="57"/>
      <c r="F1791" s="57"/>
      <c r="G1791" s="57"/>
    </row>
    <row r="1792" spans="1:7" x14ac:dyDescent="0.2">
      <c r="A1792" s="70"/>
      <c r="B1792" s="57"/>
      <c r="C1792" s="57"/>
      <c r="D1792" s="57"/>
      <c r="F1792" s="57"/>
      <c r="G1792" s="57"/>
    </row>
    <row r="1793" spans="1:7" x14ac:dyDescent="0.2">
      <c r="A1793" s="70"/>
      <c r="B1793" s="57"/>
      <c r="C1793" s="57"/>
      <c r="D1793" s="57"/>
      <c r="F1793" s="57"/>
      <c r="G1793" s="57"/>
    </row>
    <row r="1794" spans="1:7" x14ac:dyDescent="0.2">
      <c r="A1794" s="70"/>
      <c r="B1794" s="57"/>
      <c r="C1794" s="57"/>
      <c r="D1794" s="57"/>
      <c r="F1794" s="57"/>
      <c r="G1794" s="57"/>
    </row>
    <row r="1795" spans="1:7" x14ac:dyDescent="0.2">
      <c r="A1795" s="70"/>
      <c r="B1795" s="57"/>
      <c r="C1795" s="57"/>
      <c r="D1795" s="57"/>
      <c r="F1795" s="57"/>
      <c r="G1795" s="57"/>
    </row>
    <row r="1796" spans="1:7" x14ac:dyDescent="0.2">
      <c r="A1796" s="70"/>
      <c r="B1796" s="57"/>
      <c r="C1796" s="57"/>
      <c r="D1796" s="57"/>
      <c r="F1796" s="57"/>
      <c r="G1796" s="57"/>
    </row>
    <row r="1797" spans="1:7" x14ac:dyDescent="0.2">
      <c r="A1797" s="70"/>
      <c r="B1797" s="57"/>
      <c r="C1797" s="57"/>
      <c r="D1797" s="57"/>
      <c r="F1797" s="57"/>
      <c r="G1797" s="57"/>
    </row>
    <row r="1798" spans="1:7" x14ac:dyDescent="0.2">
      <c r="A1798" s="70"/>
      <c r="B1798" s="57"/>
      <c r="C1798" s="57"/>
      <c r="D1798" s="57"/>
      <c r="F1798" s="57"/>
      <c r="G1798" s="57"/>
    </row>
    <row r="1799" spans="1:7" x14ac:dyDescent="0.2">
      <c r="A1799" s="70"/>
      <c r="B1799" s="57"/>
      <c r="C1799" s="57"/>
      <c r="D1799" s="57"/>
      <c r="F1799" s="57"/>
      <c r="G1799" s="57"/>
    </row>
    <row r="1800" spans="1:7" x14ac:dyDescent="0.2">
      <c r="A1800" s="70"/>
      <c r="B1800" s="57"/>
      <c r="C1800" s="57"/>
      <c r="D1800" s="57"/>
      <c r="F1800" s="57"/>
      <c r="G1800" s="57"/>
    </row>
    <row r="1801" spans="1:7" x14ac:dyDescent="0.2">
      <c r="A1801" s="70"/>
      <c r="B1801" s="57"/>
      <c r="C1801" s="57"/>
      <c r="D1801" s="57"/>
      <c r="F1801" s="57"/>
      <c r="G1801" s="57"/>
    </row>
    <row r="1802" spans="1:7" x14ac:dyDescent="0.2">
      <c r="A1802" s="70"/>
      <c r="B1802" s="57"/>
      <c r="C1802" s="57"/>
      <c r="D1802" s="57"/>
      <c r="F1802" s="57"/>
      <c r="G1802" s="57"/>
    </row>
    <row r="1803" spans="1:7" x14ac:dyDescent="0.2">
      <c r="A1803" s="70"/>
      <c r="B1803" s="57"/>
      <c r="C1803" s="57"/>
      <c r="D1803" s="57"/>
      <c r="F1803" s="57"/>
      <c r="G1803" s="57"/>
    </row>
    <row r="1804" spans="1:7" x14ac:dyDescent="0.2">
      <c r="A1804" s="70"/>
      <c r="B1804" s="57"/>
      <c r="C1804" s="57"/>
      <c r="D1804" s="57"/>
      <c r="F1804" s="57"/>
      <c r="G1804" s="57"/>
    </row>
    <row r="1805" spans="1:7" x14ac:dyDescent="0.2">
      <c r="A1805" s="70"/>
      <c r="B1805" s="57"/>
      <c r="C1805" s="57"/>
      <c r="D1805" s="57"/>
      <c r="F1805" s="57"/>
      <c r="G1805" s="57"/>
    </row>
    <row r="1806" spans="1:7" x14ac:dyDescent="0.2">
      <c r="A1806" s="70"/>
      <c r="B1806" s="57"/>
      <c r="C1806" s="57"/>
      <c r="D1806" s="57"/>
      <c r="F1806" s="57"/>
      <c r="G1806" s="57"/>
    </row>
    <row r="1807" spans="1:7" x14ac:dyDescent="0.2">
      <c r="A1807" s="70"/>
      <c r="B1807" s="57"/>
      <c r="C1807" s="57"/>
      <c r="D1807" s="57"/>
      <c r="F1807" s="57"/>
      <c r="G1807" s="57"/>
    </row>
    <row r="1808" spans="1:7" x14ac:dyDescent="0.2">
      <c r="A1808" s="70"/>
      <c r="B1808" s="57"/>
      <c r="C1808" s="57"/>
      <c r="D1808" s="57"/>
      <c r="F1808" s="57"/>
      <c r="G1808" s="57"/>
    </row>
    <row r="1809" spans="1:7" x14ac:dyDescent="0.2">
      <c r="A1809" s="70"/>
      <c r="B1809" s="57"/>
      <c r="C1809" s="57"/>
      <c r="D1809" s="57"/>
      <c r="F1809" s="57"/>
      <c r="G1809" s="57"/>
    </row>
    <row r="1810" spans="1:7" x14ac:dyDescent="0.2">
      <c r="A1810" s="70"/>
      <c r="B1810" s="57"/>
      <c r="C1810" s="57"/>
      <c r="D1810" s="57"/>
      <c r="F1810" s="57"/>
      <c r="G1810" s="57"/>
    </row>
    <row r="1811" spans="1:7" x14ac:dyDescent="0.2">
      <c r="A1811" s="70"/>
      <c r="B1811" s="57"/>
      <c r="C1811" s="57"/>
      <c r="D1811" s="57"/>
      <c r="F1811" s="57"/>
      <c r="G1811" s="57"/>
    </row>
    <row r="1812" spans="1:7" x14ac:dyDescent="0.2">
      <c r="A1812" s="70"/>
      <c r="B1812" s="57"/>
      <c r="C1812" s="57"/>
      <c r="D1812" s="57"/>
      <c r="F1812" s="57"/>
      <c r="G1812" s="57"/>
    </row>
    <row r="1813" spans="1:7" x14ac:dyDescent="0.2">
      <c r="A1813" s="70"/>
      <c r="B1813" s="57"/>
      <c r="C1813" s="57"/>
      <c r="D1813" s="57"/>
      <c r="F1813" s="57"/>
      <c r="G1813" s="57"/>
    </row>
    <row r="1814" spans="1:7" x14ac:dyDescent="0.2">
      <c r="A1814" s="70"/>
      <c r="B1814" s="57"/>
      <c r="C1814" s="57"/>
      <c r="D1814" s="57"/>
      <c r="F1814" s="57"/>
      <c r="G1814" s="57"/>
    </row>
    <row r="1815" spans="1:7" x14ac:dyDescent="0.2">
      <c r="A1815" s="70"/>
      <c r="B1815" s="57"/>
      <c r="C1815" s="57"/>
      <c r="D1815" s="57"/>
      <c r="F1815" s="57"/>
      <c r="G1815" s="57"/>
    </row>
    <row r="1816" spans="1:7" x14ac:dyDescent="0.2">
      <c r="A1816" s="70"/>
      <c r="B1816" s="57"/>
      <c r="C1816" s="57"/>
      <c r="D1816" s="57"/>
      <c r="F1816" s="57"/>
      <c r="G1816" s="57"/>
    </row>
    <row r="1817" spans="1:7" x14ac:dyDescent="0.2">
      <c r="A1817" s="70"/>
      <c r="B1817" s="57"/>
      <c r="C1817" s="57"/>
      <c r="D1817" s="57"/>
      <c r="F1817" s="57"/>
      <c r="G1817" s="57"/>
    </row>
    <row r="1818" spans="1:7" x14ac:dyDescent="0.2">
      <c r="A1818" s="70"/>
      <c r="B1818" s="57"/>
      <c r="C1818" s="57"/>
      <c r="D1818" s="57"/>
      <c r="F1818" s="57"/>
      <c r="G1818" s="57"/>
    </row>
    <row r="1819" spans="1:7" x14ac:dyDescent="0.2">
      <c r="A1819" s="70"/>
      <c r="B1819" s="57"/>
      <c r="C1819" s="57"/>
      <c r="D1819" s="57"/>
      <c r="F1819" s="57"/>
      <c r="G1819" s="57"/>
    </row>
    <row r="1820" spans="1:7" x14ac:dyDescent="0.2">
      <c r="A1820" s="70"/>
      <c r="B1820" s="57"/>
      <c r="C1820" s="57"/>
      <c r="D1820" s="57"/>
      <c r="F1820" s="57"/>
      <c r="G1820" s="57"/>
    </row>
    <row r="1821" spans="1:7" x14ac:dyDescent="0.2">
      <c r="A1821" s="70"/>
      <c r="B1821" s="57"/>
      <c r="C1821" s="57"/>
      <c r="D1821" s="57"/>
      <c r="F1821" s="57"/>
      <c r="G1821" s="57"/>
    </row>
    <row r="1822" spans="1:7" x14ac:dyDescent="0.2">
      <c r="A1822" s="70"/>
      <c r="B1822" s="57"/>
      <c r="C1822" s="57"/>
      <c r="D1822" s="57"/>
      <c r="F1822" s="57"/>
      <c r="G1822" s="57"/>
    </row>
    <row r="1823" spans="1:7" x14ac:dyDescent="0.2">
      <c r="A1823" s="70"/>
      <c r="B1823" s="57"/>
      <c r="C1823" s="57"/>
      <c r="D1823" s="57"/>
      <c r="F1823" s="57"/>
      <c r="G1823" s="57"/>
    </row>
    <row r="1824" spans="1:7" x14ac:dyDescent="0.2">
      <c r="A1824" s="70"/>
      <c r="B1824" s="57"/>
      <c r="C1824" s="57"/>
      <c r="D1824" s="57"/>
      <c r="F1824" s="57"/>
      <c r="G1824" s="57"/>
    </row>
    <row r="1825" spans="1:7" x14ac:dyDescent="0.2">
      <c r="A1825" s="70"/>
      <c r="B1825" s="57"/>
      <c r="C1825" s="57"/>
      <c r="D1825" s="57"/>
      <c r="F1825" s="57"/>
      <c r="G1825" s="57"/>
    </row>
    <row r="1826" spans="1:7" x14ac:dyDescent="0.2">
      <c r="A1826" s="70"/>
      <c r="B1826" s="57"/>
      <c r="C1826" s="57"/>
      <c r="D1826" s="57"/>
      <c r="F1826" s="57"/>
      <c r="G1826" s="57"/>
    </row>
    <row r="1827" spans="1:7" x14ac:dyDescent="0.2">
      <c r="A1827" s="70"/>
      <c r="B1827" s="57"/>
      <c r="C1827" s="57"/>
      <c r="D1827" s="57"/>
      <c r="F1827" s="57"/>
      <c r="G1827" s="57"/>
    </row>
    <row r="1828" spans="1:7" x14ac:dyDescent="0.2">
      <c r="A1828" s="70"/>
      <c r="B1828" s="57"/>
      <c r="C1828" s="57"/>
      <c r="D1828" s="57"/>
      <c r="F1828" s="57"/>
      <c r="G1828" s="57"/>
    </row>
    <row r="1829" spans="1:7" x14ac:dyDescent="0.2">
      <c r="A1829" s="70"/>
      <c r="B1829" s="57"/>
      <c r="C1829" s="57"/>
      <c r="D1829" s="57"/>
      <c r="F1829" s="57"/>
      <c r="G1829" s="57"/>
    </row>
    <row r="1830" spans="1:7" x14ac:dyDescent="0.2">
      <c r="A1830" s="70"/>
      <c r="B1830" s="57"/>
      <c r="C1830" s="57"/>
      <c r="D1830" s="57"/>
      <c r="F1830" s="57"/>
      <c r="G1830" s="57"/>
    </row>
    <row r="1831" spans="1:7" x14ac:dyDescent="0.2">
      <c r="A1831" s="70"/>
      <c r="B1831" s="57"/>
      <c r="C1831" s="57"/>
      <c r="D1831" s="57"/>
      <c r="F1831" s="57"/>
      <c r="G1831" s="57"/>
    </row>
    <row r="1832" spans="1:7" x14ac:dyDescent="0.2">
      <c r="A1832" s="70"/>
      <c r="B1832" s="57"/>
      <c r="C1832" s="57"/>
      <c r="D1832" s="57"/>
      <c r="F1832" s="57"/>
      <c r="G1832" s="57"/>
    </row>
    <row r="1833" spans="1:7" x14ac:dyDescent="0.2">
      <c r="A1833" s="70"/>
      <c r="B1833" s="57"/>
      <c r="C1833" s="57"/>
      <c r="D1833" s="57"/>
      <c r="F1833" s="57"/>
      <c r="G1833" s="57"/>
    </row>
    <row r="1834" spans="1:7" x14ac:dyDescent="0.2">
      <c r="A1834" s="70"/>
      <c r="B1834" s="57"/>
      <c r="C1834" s="57"/>
      <c r="D1834" s="57"/>
      <c r="F1834" s="57"/>
      <c r="G1834" s="57"/>
    </row>
    <row r="1835" spans="1:7" x14ac:dyDescent="0.2">
      <c r="A1835" s="70"/>
      <c r="B1835" s="57"/>
      <c r="C1835" s="57"/>
      <c r="D1835" s="57"/>
      <c r="F1835" s="57"/>
      <c r="G1835" s="57"/>
    </row>
    <row r="1836" spans="1:7" x14ac:dyDescent="0.2">
      <c r="A1836" s="70"/>
      <c r="B1836" s="57"/>
      <c r="C1836" s="57"/>
      <c r="D1836" s="57"/>
      <c r="F1836" s="57"/>
      <c r="G1836" s="57"/>
    </row>
    <row r="1837" spans="1:7" x14ac:dyDescent="0.2">
      <c r="A1837" s="70"/>
      <c r="B1837" s="57"/>
      <c r="C1837" s="57"/>
      <c r="D1837" s="57"/>
      <c r="F1837" s="57"/>
      <c r="G1837" s="57"/>
    </row>
    <row r="1838" spans="1:7" x14ac:dyDescent="0.2">
      <c r="A1838" s="70"/>
      <c r="B1838" s="57"/>
      <c r="C1838" s="57"/>
      <c r="D1838" s="57"/>
      <c r="F1838" s="57"/>
      <c r="G1838" s="57"/>
    </row>
    <row r="1839" spans="1:7" x14ac:dyDescent="0.2">
      <c r="A1839" s="70"/>
      <c r="B1839" s="57"/>
      <c r="C1839" s="57"/>
      <c r="D1839" s="57"/>
      <c r="F1839" s="57"/>
      <c r="G1839" s="57"/>
    </row>
    <row r="1840" spans="1:7" x14ac:dyDescent="0.2">
      <c r="A1840" s="70"/>
      <c r="B1840" s="57"/>
      <c r="C1840" s="57"/>
      <c r="D1840" s="57"/>
      <c r="F1840" s="57"/>
      <c r="G1840" s="57"/>
    </row>
    <row r="1841" spans="1:7" x14ac:dyDescent="0.2">
      <c r="A1841" s="70"/>
      <c r="B1841" s="57"/>
      <c r="C1841" s="57"/>
      <c r="D1841" s="57"/>
      <c r="F1841" s="57"/>
      <c r="G1841" s="57"/>
    </row>
    <row r="1842" spans="1:7" x14ac:dyDescent="0.2">
      <c r="A1842" s="70"/>
      <c r="B1842" s="57"/>
      <c r="C1842" s="57"/>
      <c r="D1842" s="57"/>
      <c r="F1842" s="57"/>
      <c r="G1842" s="57"/>
    </row>
    <row r="1843" spans="1:7" x14ac:dyDescent="0.2">
      <c r="A1843" s="70"/>
      <c r="B1843" s="57"/>
      <c r="C1843" s="57"/>
      <c r="D1843" s="57"/>
      <c r="F1843" s="57"/>
      <c r="G1843" s="57"/>
    </row>
    <row r="1844" spans="1:7" x14ac:dyDescent="0.2">
      <c r="A1844" s="70"/>
      <c r="B1844" s="57"/>
      <c r="C1844" s="57"/>
      <c r="D1844" s="57"/>
      <c r="F1844" s="57"/>
      <c r="G1844" s="57"/>
    </row>
    <row r="1845" spans="1:7" x14ac:dyDescent="0.2">
      <c r="A1845" s="70"/>
      <c r="B1845" s="57"/>
      <c r="C1845" s="57"/>
      <c r="D1845" s="57"/>
      <c r="F1845" s="57"/>
      <c r="G1845" s="57"/>
    </row>
    <row r="1846" spans="1:7" x14ac:dyDescent="0.2">
      <c r="A1846" s="70"/>
      <c r="B1846" s="57"/>
      <c r="C1846" s="57"/>
      <c r="D1846" s="57"/>
      <c r="F1846" s="57"/>
      <c r="G1846" s="57"/>
    </row>
    <row r="1847" spans="1:7" x14ac:dyDescent="0.2">
      <c r="A1847" s="70"/>
      <c r="B1847" s="57"/>
      <c r="C1847" s="57"/>
      <c r="D1847" s="57"/>
      <c r="F1847" s="57"/>
      <c r="G1847" s="57"/>
    </row>
    <row r="1848" spans="1:7" x14ac:dyDescent="0.2">
      <c r="A1848" s="70"/>
      <c r="B1848" s="57"/>
      <c r="C1848" s="57"/>
      <c r="D1848" s="57"/>
      <c r="F1848" s="57"/>
      <c r="G1848" s="57"/>
    </row>
    <row r="1849" spans="1:7" x14ac:dyDescent="0.2">
      <c r="A1849" s="70"/>
      <c r="B1849" s="57"/>
      <c r="C1849" s="57"/>
      <c r="D1849" s="57"/>
      <c r="F1849" s="57"/>
      <c r="G1849" s="57"/>
    </row>
    <row r="1850" spans="1:7" x14ac:dyDescent="0.2">
      <c r="A1850" s="70"/>
      <c r="B1850" s="57"/>
      <c r="C1850" s="57"/>
      <c r="D1850" s="57"/>
      <c r="F1850" s="57"/>
      <c r="G1850" s="57"/>
    </row>
    <row r="1851" spans="1:7" x14ac:dyDescent="0.2">
      <c r="A1851" s="70"/>
      <c r="B1851" s="57"/>
      <c r="C1851" s="57"/>
      <c r="D1851" s="57"/>
      <c r="F1851" s="57"/>
      <c r="G1851" s="57"/>
    </row>
    <row r="1852" spans="1:7" x14ac:dyDescent="0.2">
      <c r="A1852" s="70"/>
      <c r="B1852" s="57"/>
      <c r="C1852" s="57"/>
      <c r="D1852" s="57"/>
      <c r="F1852" s="57"/>
      <c r="G1852" s="57"/>
    </row>
    <row r="1853" spans="1:7" x14ac:dyDescent="0.2">
      <c r="A1853" s="70"/>
      <c r="B1853" s="57"/>
      <c r="C1853" s="57"/>
      <c r="D1853" s="57"/>
      <c r="F1853" s="57"/>
      <c r="G1853" s="57"/>
    </row>
    <row r="1854" spans="1:7" x14ac:dyDescent="0.2">
      <c r="A1854" s="70"/>
      <c r="B1854" s="57"/>
      <c r="C1854" s="57"/>
      <c r="D1854" s="57"/>
      <c r="F1854" s="57"/>
      <c r="G1854" s="57"/>
    </row>
    <row r="1855" spans="1:7" x14ac:dyDescent="0.2">
      <c r="A1855" s="70"/>
      <c r="B1855" s="57"/>
      <c r="C1855" s="57"/>
      <c r="D1855" s="57"/>
      <c r="F1855" s="57"/>
      <c r="G1855" s="57"/>
    </row>
    <row r="1856" spans="1:7" x14ac:dyDescent="0.2">
      <c r="A1856" s="70"/>
      <c r="B1856" s="57"/>
      <c r="C1856" s="57"/>
      <c r="D1856" s="57"/>
      <c r="F1856" s="57"/>
      <c r="G1856" s="57"/>
    </row>
    <row r="1857" spans="1:7" x14ac:dyDescent="0.2">
      <c r="A1857" s="70"/>
      <c r="B1857" s="57"/>
      <c r="C1857" s="57"/>
      <c r="D1857" s="57"/>
      <c r="F1857" s="57"/>
      <c r="G1857" s="57"/>
    </row>
    <row r="1858" spans="1:7" x14ac:dyDescent="0.2">
      <c r="A1858" s="70"/>
      <c r="B1858" s="57"/>
      <c r="C1858" s="57"/>
      <c r="D1858" s="57"/>
      <c r="F1858" s="57"/>
      <c r="G1858" s="57"/>
    </row>
    <row r="1859" spans="1:7" x14ac:dyDescent="0.2">
      <c r="A1859" s="70"/>
      <c r="B1859" s="57"/>
      <c r="C1859" s="57"/>
      <c r="D1859" s="57"/>
      <c r="F1859" s="57"/>
      <c r="G1859" s="57"/>
    </row>
    <row r="1860" spans="1:7" x14ac:dyDescent="0.2">
      <c r="A1860" s="70"/>
      <c r="B1860" s="57"/>
      <c r="C1860" s="57"/>
      <c r="D1860" s="57"/>
      <c r="F1860" s="57"/>
      <c r="G1860" s="57"/>
    </row>
    <row r="1861" spans="1:7" x14ac:dyDescent="0.2">
      <c r="A1861" s="70"/>
      <c r="B1861" s="57"/>
      <c r="C1861" s="57"/>
      <c r="D1861" s="57"/>
      <c r="F1861" s="57"/>
      <c r="G1861" s="57"/>
    </row>
    <row r="1862" spans="1:7" x14ac:dyDescent="0.2">
      <c r="A1862" s="70"/>
      <c r="B1862" s="57"/>
      <c r="C1862" s="57"/>
      <c r="D1862" s="57"/>
      <c r="F1862" s="57"/>
      <c r="G1862" s="57"/>
    </row>
    <row r="1863" spans="1:7" x14ac:dyDescent="0.2">
      <c r="A1863" s="70"/>
      <c r="B1863" s="57"/>
      <c r="C1863" s="57"/>
      <c r="D1863" s="57"/>
      <c r="F1863" s="57"/>
      <c r="G1863" s="57"/>
    </row>
    <row r="1864" spans="1:7" x14ac:dyDescent="0.2">
      <c r="A1864" s="70"/>
      <c r="B1864" s="57"/>
      <c r="C1864" s="57"/>
      <c r="D1864" s="57"/>
      <c r="F1864" s="57"/>
      <c r="G1864" s="57"/>
    </row>
    <row r="1865" spans="1:7" x14ac:dyDescent="0.2">
      <c r="A1865" s="70"/>
      <c r="B1865" s="57"/>
      <c r="C1865" s="57"/>
      <c r="D1865" s="57"/>
      <c r="F1865" s="57"/>
      <c r="G1865" s="57"/>
    </row>
    <row r="1866" spans="1:7" x14ac:dyDescent="0.2">
      <c r="A1866" s="70"/>
      <c r="B1866" s="57"/>
      <c r="C1866" s="57"/>
      <c r="D1866" s="57"/>
      <c r="F1866" s="57"/>
      <c r="G1866" s="57"/>
    </row>
    <row r="1867" spans="1:7" x14ac:dyDescent="0.2">
      <c r="A1867" s="70"/>
      <c r="B1867" s="57"/>
      <c r="C1867" s="57"/>
      <c r="D1867" s="57"/>
      <c r="F1867" s="57"/>
      <c r="G1867" s="57"/>
    </row>
    <row r="1868" spans="1:7" x14ac:dyDescent="0.2">
      <c r="A1868" s="70"/>
      <c r="B1868" s="57"/>
      <c r="C1868" s="57"/>
      <c r="D1868" s="57"/>
      <c r="F1868" s="57"/>
      <c r="G1868" s="57"/>
    </row>
    <row r="1869" spans="1:7" x14ac:dyDescent="0.2">
      <c r="A1869" s="70"/>
      <c r="B1869" s="57"/>
      <c r="C1869" s="57"/>
      <c r="D1869" s="57"/>
      <c r="F1869" s="57"/>
      <c r="G1869" s="57"/>
    </row>
    <row r="1870" spans="1:7" x14ac:dyDescent="0.2">
      <c r="A1870" s="70"/>
      <c r="B1870" s="57"/>
      <c r="C1870" s="57"/>
      <c r="D1870" s="57"/>
      <c r="F1870" s="57"/>
      <c r="G1870" s="57"/>
    </row>
    <row r="1871" spans="1:7" x14ac:dyDescent="0.2">
      <c r="A1871" s="70"/>
      <c r="B1871" s="57"/>
      <c r="C1871" s="57"/>
      <c r="D1871" s="57"/>
      <c r="F1871" s="57"/>
      <c r="G1871" s="57"/>
    </row>
    <row r="1872" spans="1:7" x14ac:dyDescent="0.2">
      <c r="A1872" s="70"/>
      <c r="B1872" s="57"/>
      <c r="C1872" s="57"/>
      <c r="D1872" s="57"/>
      <c r="F1872" s="57"/>
      <c r="G1872" s="57"/>
    </row>
    <row r="1873" spans="1:7" x14ac:dyDescent="0.2">
      <c r="A1873" s="70"/>
      <c r="B1873" s="57"/>
      <c r="C1873" s="57"/>
      <c r="D1873" s="57"/>
      <c r="F1873" s="57"/>
      <c r="G1873" s="57"/>
    </row>
    <row r="1874" spans="1:7" x14ac:dyDescent="0.2">
      <c r="A1874" s="70"/>
      <c r="B1874" s="57"/>
      <c r="C1874" s="57"/>
      <c r="D1874" s="57"/>
      <c r="F1874" s="57"/>
      <c r="G1874" s="57"/>
    </row>
    <row r="1875" spans="1:7" x14ac:dyDescent="0.2">
      <c r="A1875" s="70"/>
      <c r="B1875" s="57"/>
      <c r="C1875" s="57"/>
      <c r="D1875" s="57"/>
      <c r="F1875" s="57"/>
      <c r="G1875" s="57"/>
    </row>
    <row r="1876" spans="1:7" x14ac:dyDescent="0.2">
      <c r="A1876" s="70"/>
      <c r="B1876" s="57"/>
      <c r="C1876" s="57"/>
      <c r="D1876" s="57"/>
      <c r="F1876" s="57"/>
      <c r="G1876" s="57"/>
    </row>
    <row r="1877" spans="1:7" x14ac:dyDescent="0.2">
      <c r="A1877" s="70"/>
      <c r="B1877" s="57"/>
      <c r="C1877" s="57"/>
      <c r="D1877" s="57"/>
      <c r="F1877" s="57"/>
      <c r="G1877" s="57"/>
    </row>
    <row r="1878" spans="1:7" x14ac:dyDescent="0.2">
      <c r="A1878" s="70"/>
      <c r="B1878" s="57"/>
      <c r="C1878" s="57"/>
      <c r="D1878" s="57"/>
      <c r="F1878" s="57"/>
      <c r="G1878" s="57"/>
    </row>
    <row r="1879" spans="1:7" x14ac:dyDescent="0.2">
      <c r="A1879" s="70"/>
      <c r="B1879" s="57"/>
      <c r="C1879" s="57"/>
      <c r="D1879" s="57"/>
      <c r="F1879" s="57"/>
      <c r="G1879" s="57"/>
    </row>
    <row r="1880" spans="1:7" x14ac:dyDescent="0.2">
      <c r="A1880" s="70"/>
      <c r="B1880" s="57"/>
      <c r="C1880" s="57"/>
      <c r="D1880" s="57"/>
      <c r="F1880" s="57"/>
      <c r="G1880" s="57"/>
    </row>
    <row r="1881" spans="1:7" x14ac:dyDescent="0.2">
      <c r="A1881" s="70"/>
      <c r="B1881" s="57"/>
      <c r="C1881" s="57"/>
      <c r="D1881" s="57"/>
      <c r="F1881" s="57"/>
      <c r="G1881" s="57"/>
    </row>
    <row r="1882" spans="1:7" x14ac:dyDescent="0.2">
      <c r="A1882" s="70"/>
      <c r="B1882" s="57"/>
      <c r="C1882" s="57"/>
      <c r="D1882" s="57"/>
      <c r="F1882" s="57"/>
      <c r="G1882" s="57"/>
    </row>
    <row r="1883" spans="1:7" x14ac:dyDescent="0.2">
      <c r="A1883" s="70"/>
      <c r="B1883" s="57"/>
      <c r="C1883" s="57"/>
      <c r="D1883" s="57"/>
      <c r="F1883" s="57"/>
      <c r="G1883" s="57"/>
    </row>
    <row r="1884" spans="1:7" x14ac:dyDescent="0.2">
      <c r="A1884" s="70"/>
      <c r="B1884" s="57"/>
      <c r="C1884" s="57"/>
      <c r="D1884" s="57"/>
      <c r="F1884" s="57"/>
      <c r="G1884" s="57"/>
    </row>
    <row r="1885" spans="1:7" x14ac:dyDescent="0.2">
      <c r="A1885" s="70"/>
      <c r="B1885" s="57"/>
      <c r="C1885" s="57"/>
      <c r="D1885" s="57"/>
      <c r="F1885" s="57"/>
      <c r="G1885" s="57"/>
    </row>
    <row r="1886" spans="1:7" x14ac:dyDescent="0.2">
      <c r="A1886" s="70"/>
      <c r="B1886" s="57"/>
      <c r="C1886" s="57"/>
      <c r="D1886" s="57"/>
      <c r="F1886" s="57"/>
      <c r="G1886" s="57"/>
    </row>
    <row r="1887" spans="1:7" x14ac:dyDescent="0.2">
      <c r="A1887" s="70"/>
      <c r="B1887" s="57"/>
      <c r="C1887" s="57"/>
      <c r="D1887" s="57"/>
      <c r="F1887" s="57"/>
      <c r="G1887" s="57"/>
    </row>
    <row r="1888" spans="1:7" x14ac:dyDescent="0.2">
      <c r="A1888" s="70"/>
      <c r="B1888" s="57"/>
      <c r="C1888" s="57"/>
      <c r="D1888" s="57"/>
      <c r="F1888" s="57"/>
      <c r="G1888" s="57"/>
    </row>
    <row r="1889" spans="1:7" x14ac:dyDescent="0.2">
      <c r="A1889" s="70"/>
      <c r="B1889" s="57"/>
      <c r="C1889" s="57"/>
      <c r="D1889" s="57"/>
      <c r="F1889" s="57"/>
      <c r="G1889" s="57"/>
    </row>
    <row r="1890" spans="1:7" x14ac:dyDescent="0.2">
      <c r="A1890" s="70"/>
      <c r="B1890" s="57"/>
      <c r="C1890" s="57"/>
      <c r="D1890" s="57"/>
      <c r="F1890" s="57"/>
      <c r="G1890" s="57"/>
    </row>
    <row r="1891" spans="1:7" x14ac:dyDescent="0.2">
      <c r="A1891" s="70"/>
      <c r="B1891" s="57"/>
      <c r="C1891" s="57"/>
      <c r="D1891" s="57"/>
      <c r="F1891" s="57"/>
      <c r="G1891" s="57"/>
    </row>
    <row r="1892" spans="1:7" x14ac:dyDescent="0.2">
      <c r="A1892" s="70"/>
      <c r="B1892" s="57"/>
      <c r="C1892" s="57"/>
      <c r="D1892" s="57"/>
      <c r="F1892" s="57"/>
      <c r="G1892" s="57"/>
    </row>
    <row r="1893" spans="1:7" x14ac:dyDescent="0.2">
      <c r="A1893" s="70"/>
      <c r="B1893" s="57"/>
      <c r="C1893" s="57"/>
      <c r="D1893" s="57"/>
      <c r="F1893" s="57"/>
      <c r="G1893" s="57"/>
    </row>
    <row r="1894" spans="1:7" x14ac:dyDescent="0.2">
      <c r="A1894" s="70"/>
      <c r="B1894" s="57"/>
      <c r="C1894" s="57"/>
      <c r="D1894" s="57"/>
      <c r="F1894" s="57"/>
      <c r="G1894" s="57"/>
    </row>
    <row r="1895" spans="1:7" x14ac:dyDescent="0.2">
      <c r="A1895" s="70"/>
      <c r="B1895" s="57"/>
      <c r="C1895" s="57"/>
      <c r="D1895" s="57"/>
      <c r="F1895" s="57"/>
      <c r="G1895" s="57"/>
    </row>
    <row r="1896" spans="1:7" x14ac:dyDescent="0.2">
      <c r="A1896" s="70"/>
      <c r="B1896" s="57"/>
      <c r="C1896" s="57"/>
      <c r="D1896" s="57"/>
      <c r="F1896" s="57"/>
      <c r="G1896" s="57"/>
    </row>
    <row r="1897" spans="1:7" x14ac:dyDescent="0.2">
      <c r="A1897" s="70"/>
      <c r="B1897" s="57"/>
      <c r="C1897" s="57"/>
      <c r="D1897" s="57"/>
      <c r="F1897" s="57"/>
      <c r="G1897" s="57"/>
    </row>
    <row r="1898" spans="1:7" x14ac:dyDescent="0.2">
      <c r="A1898" s="70"/>
      <c r="B1898" s="57"/>
      <c r="C1898" s="57"/>
      <c r="D1898" s="57"/>
      <c r="F1898" s="57"/>
      <c r="G1898" s="57"/>
    </row>
    <row r="1899" spans="1:7" x14ac:dyDescent="0.2">
      <c r="A1899" s="70"/>
      <c r="B1899" s="57"/>
      <c r="C1899" s="57"/>
      <c r="D1899" s="57"/>
      <c r="F1899" s="57"/>
      <c r="G1899" s="57"/>
    </row>
    <row r="1900" spans="1:7" x14ac:dyDescent="0.2">
      <c r="A1900" s="70"/>
      <c r="B1900" s="57"/>
      <c r="C1900" s="57"/>
      <c r="D1900" s="57"/>
      <c r="F1900" s="57"/>
      <c r="G1900" s="57"/>
    </row>
    <row r="1901" spans="1:7" x14ac:dyDescent="0.2">
      <c r="A1901" s="70"/>
      <c r="B1901" s="57"/>
      <c r="C1901" s="57"/>
      <c r="D1901" s="57"/>
      <c r="F1901" s="57"/>
      <c r="G1901" s="57"/>
    </row>
    <row r="1902" spans="1:7" x14ac:dyDescent="0.2">
      <c r="A1902" s="70"/>
      <c r="B1902" s="57"/>
      <c r="C1902" s="57"/>
      <c r="D1902" s="57"/>
      <c r="F1902" s="57"/>
      <c r="G1902" s="57"/>
    </row>
    <row r="1903" spans="1:7" x14ac:dyDescent="0.2">
      <c r="A1903" s="70"/>
      <c r="B1903" s="57"/>
      <c r="C1903" s="57"/>
      <c r="D1903" s="57"/>
      <c r="F1903" s="57"/>
      <c r="G1903" s="57"/>
    </row>
    <row r="1904" spans="1:7" x14ac:dyDescent="0.2">
      <c r="A1904" s="70"/>
      <c r="B1904" s="57"/>
      <c r="C1904" s="57"/>
      <c r="D1904" s="57"/>
      <c r="F1904" s="57"/>
      <c r="G1904" s="57"/>
    </row>
    <row r="1905" spans="1:7" x14ac:dyDescent="0.2">
      <c r="A1905" s="70"/>
      <c r="B1905" s="57"/>
      <c r="C1905" s="57"/>
      <c r="D1905" s="57"/>
      <c r="F1905" s="57"/>
      <c r="G1905" s="57"/>
    </row>
    <row r="1906" spans="1:7" x14ac:dyDescent="0.2">
      <c r="A1906" s="70"/>
      <c r="B1906" s="57"/>
      <c r="C1906" s="57"/>
      <c r="D1906" s="57"/>
      <c r="F1906" s="57"/>
      <c r="G1906" s="57"/>
    </row>
    <row r="1907" spans="1:7" x14ac:dyDescent="0.2">
      <c r="A1907" s="70"/>
      <c r="B1907" s="57"/>
      <c r="C1907" s="57"/>
      <c r="D1907" s="57"/>
      <c r="F1907" s="57"/>
      <c r="G1907" s="57"/>
    </row>
    <row r="1908" spans="1:7" x14ac:dyDescent="0.2">
      <c r="A1908" s="70"/>
      <c r="B1908" s="57"/>
      <c r="C1908" s="57"/>
      <c r="D1908" s="57"/>
      <c r="F1908" s="57"/>
      <c r="G1908" s="57"/>
    </row>
    <row r="1909" spans="1:7" x14ac:dyDescent="0.2">
      <c r="A1909" s="70"/>
      <c r="B1909" s="57"/>
      <c r="C1909" s="57"/>
      <c r="D1909" s="57"/>
      <c r="F1909" s="57"/>
      <c r="G1909" s="57"/>
    </row>
    <row r="1910" spans="1:7" x14ac:dyDescent="0.2">
      <c r="A1910" s="70"/>
      <c r="B1910" s="57"/>
      <c r="C1910" s="57"/>
      <c r="D1910" s="57"/>
      <c r="F1910" s="57"/>
      <c r="G1910" s="57"/>
    </row>
    <row r="1911" spans="1:7" x14ac:dyDescent="0.2">
      <c r="A1911" s="70"/>
      <c r="B1911" s="57"/>
      <c r="C1911" s="57"/>
      <c r="D1911" s="57"/>
      <c r="F1911" s="57"/>
      <c r="G1911" s="57"/>
    </row>
    <row r="1912" spans="1:7" x14ac:dyDescent="0.2">
      <c r="A1912" s="70"/>
      <c r="B1912" s="57"/>
      <c r="C1912" s="57"/>
      <c r="D1912" s="57"/>
      <c r="F1912" s="57"/>
      <c r="G1912" s="57"/>
    </row>
    <row r="1913" spans="1:7" x14ac:dyDescent="0.2">
      <c r="A1913" s="70"/>
      <c r="B1913" s="57"/>
      <c r="C1913" s="57"/>
      <c r="D1913" s="57"/>
      <c r="F1913" s="57"/>
      <c r="G1913" s="57"/>
    </row>
    <row r="1914" spans="1:7" x14ac:dyDescent="0.2">
      <c r="A1914" s="70"/>
      <c r="B1914" s="57"/>
      <c r="C1914" s="57"/>
      <c r="D1914" s="57"/>
      <c r="F1914" s="57"/>
      <c r="G1914" s="57"/>
    </row>
    <row r="1915" spans="1:7" x14ac:dyDescent="0.2">
      <c r="A1915" s="70"/>
      <c r="B1915" s="57"/>
      <c r="C1915" s="57"/>
      <c r="D1915" s="57"/>
      <c r="F1915" s="57"/>
      <c r="G1915" s="57"/>
    </row>
    <row r="1916" spans="1:7" x14ac:dyDescent="0.2">
      <c r="A1916" s="70"/>
      <c r="B1916" s="57"/>
      <c r="C1916" s="57"/>
      <c r="D1916" s="57"/>
      <c r="F1916" s="57"/>
      <c r="G1916" s="57"/>
    </row>
    <row r="1917" spans="1:7" x14ac:dyDescent="0.2">
      <c r="A1917" s="70"/>
      <c r="B1917" s="57"/>
      <c r="C1917" s="57"/>
      <c r="D1917" s="57"/>
      <c r="F1917" s="57"/>
      <c r="G1917" s="57"/>
    </row>
    <row r="1918" spans="1:7" x14ac:dyDescent="0.2">
      <c r="A1918" s="70"/>
      <c r="B1918" s="57"/>
      <c r="C1918" s="57"/>
      <c r="D1918" s="57"/>
      <c r="F1918" s="57"/>
      <c r="G1918" s="57"/>
    </row>
    <row r="1919" spans="1:7" x14ac:dyDescent="0.2">
      <c r="A1919" s="70"/>
      <c r="B1919" s="57"/>
      <c r="C1919" s="57"/>
      <c r="D1919" s="57"/>
      <c r="F1919" s="57"/>
      <c r="G1919" s="57"/>
    </row>
    <row r="1920" spans="1:7" x14ac:dyDescent="0.2">
      <c r="A1920" s="70"/>
      <c r="B1920" s="57"/>
      <c r="C1920" s="57"/>
      <c r="D1920" s="57"/>
      <c r="F1920" s="57"/>
      <c r="G1920" s="57"/>
    </row>
    <row r="1921" spans="1:7" x14ac:dyDescent="0.2">
      <c r="A1921" s="70"/>
      <c r="B1921" s="57"/>
      <c r="C1921" s="57"/>
      <c r="D1921" s="57"/>
      <c r="F1921" s="57"/>
      <c r="G1921" s="57"/>
    </row>
    <row r="1922" spans="1:7" x14ac:dyDescent="0.2">
      <c r="A1922" s="70"/>
      <c r="B1922" s="57"/>
      <c r="C1922" s="57"/>
      <c r="D1922" s="57"/>
      <c r="F1922" s="57"/>
      <c r="G1922" s="57"/>
    </row>
    <row r="1923" spans="1:7" x14ac:dyDescent="0.2">
      <c r="A1923" s="70"/>
      <c r="B1923" s="57"/>
      <c r="C1923" s="57"/>
      <c r="D1923" s="57"/>
      <c r="F1923" s="57"/>
      <c r="G1923" s="57"/>
    </row>
    <row r="1924" spans="1:7" x14ac:dyDescent="0.2">
      <c r="A1924" s="70"/>
      <c r="B1924" s="57"/>
      <c r="C1924" s="57"/>
      <c r="D1924" s="57"/>
      <c r="F1924" s="57"/>
      <c r="G1924" s="57"/>
    </row>
    <row r="1925" spans="1:7" x14ac:dyDescent="0.2">
      <c r="A1925" s="70"/>
      <c r="B1925" s="57"/>
      <c r="C1925" s="57"/>
      <c r="D1925" s="57"/>
      <c r="F1925" s="57"/>
      <c r="G1925" s="57"/>
    </row>
    <row r="1926" spans="1:7" x14ac:dyDescent="0.2">
      <c r="A1926" s="70"/>
      <c r="B1926" s="57"/>
      <c r="C1926" s="57"/>
      <c r="D1926" s="57"/>
      <c r="F1926" s="57"/>
      <c r="G1926" s="57"/>
    </row>
    <row r="1927" spans="1:7" x14ac:dyDescent="0.2">
      <c r="A1927" s="70"/>
      <c r="B1927" s="57"/>
      <c r="C1927" s="57"/>
      <c r="D1927" s="57"/>
      <c r="F1927" s="57"/>
      <c r="G1927" s="57"/>
    </row>
    <row r="1928" spans="1:7" x14ac:dyDescent="0.2">
      <c r="A1928" s="70"/>
      <c r="B1928" s="57"/>
      <c r="C1928" s="57"/>
      <c r="D1928" s="57"/>
      <c r="F1928" s="57"/>
      <c r="G1928" s="57"/>
    </row>
    <row r="1929" spans="1:7" x14ac:dyDescent="0.2">
      <c r="A1929" s="70"/>
      <c r="B1929" s="57"/>
      <c r="C1929" s="57"/>
      <c r="D1929" s="57"/>
      <c r="F1929" s="57"/>
      <c r="G1929" s="57"/>
    </row>
    <row r="1930" spans="1:7" x14ac:dyDescent="0.2">
      <c r="A1930" s="70"/>
      <c r="B1930" s="57"/>
      <c r="C1930" s="57"/>
      <c r="D1930" s="57"/>
      <c r="F1930" s="57"/>
      <c r="G1930" s="57"/>
    </row>
    <row r="1931" spans="1:7" x14ac:dyDescent="0.2">
      <c r="A1931" s="70"/>
      <c r="B1931" s="57"/>
      <c r="C1931" s="57"/>
      <c r="D1931" s="57"/>
      <c r="F1931" s="57"/>
      <c r="G1931" s="57"/>
    </row>
    <row r="1932" spans="1:7" x14ac:dyDescent="0.2">
      <c r="A1932" s="70"/>
      <c r="B1932" s="57"/>
      <c r="C1932" s="57"/>
      <c r="D1932" s="57"/>
      <c r="F1932" s="57"/>
      <c r="G1932" s="57"/>
    </row>
    <row r="1933" spans="1:7" x14ac:dyDescent="0.2">
      <c r="A1933" s="70"/>
      <c r="B1933" s="57"/>
      <c r="C1933" s="57"/>
      <c r="D1933" s="57"/>
      <c r="F1933" s="57"/>
      <c r="G1933" s="57"/>
    </row>
    <row r="1934" spans="1:7" x14ac:dyDescent="0.2">
      <c r="A1934" s="70"/>
      <c r="B1934" s="57"/>
      <c r="C1934" s="57"/>
      <c r="D1934" s="57"/>
      <c r="F1934" s="57"/>
      <c r="G1934" s="57"/>
    </row>
    <row r="1935" spans="1:7" x14ac:dyDescent="0.2">
      <c r="A1935" s="70"/>
      <c r="B1935" s="57"/>
      <c r="C1935" s="57"/>
      <c r="D1935" s="57"/>
      <c r="F1935" s="57"/>
      <c r="G1935" s="57"/>
    </row>
    <row r="1936" spans="1:7" x14ac:dyDescent="0.2">
      <c r="A1936" s="70"/>
      <c r="B1936" s="57"/>
      <c r="C1936" s="57"/>
      <c r="D1936" s="57"/>
      <c r="F1936" s="57"/>
      <c r="G1936" s="57"/>
    </row>
    <row r="1937" spans="1:7" x14ac:dyDescent="0.2">
      <c r="A1937" s="70"/>
      <c r="B1937" s="57"/>
      <c r="C1937" s="57"/>
      <c r="D1937" s="57"/>
      <c r="F1937" s="57"/>
      <c r="G1937" s="57"/>
    </row>
    <row r="1938" spans="1:7" x14ac:dyDescent="0.2">
      <c r="A1938" s="70"/>
      <c r="B1938" s="57"/>
      <c r="C1938" s="57"/>
      <c r="D1938" s="57"/>
      <c r="F1938" s="57"/>
      <c r="G1938" s="57"/>
    </row>
    <row r="1939" spans="1:7" x14ac:dyDescent="0.2">
      <c r="A1939" s="70"/>
      <c r="B1939" s="57"/>
      <c r="C1939" s="57"/>
      <c r="D1939" s="57"/>
      <c r="F1939" s="57"/>
      <c r="G1939" s="57"/>
    </row>
    <row r="1940" spans="1:7" x14ac:dyDescent="0.2">
      <c r="A1940" s="70"/>
      <c r="B1940" s="57"/>
      <c r="C1940" s="57"/>
      <c r="D1940" s="57"/>
      <c r="F1940" s="57"/>
      <c r="G1940" s="57"/>
    </row>
    <row r="1941" spans="1:7" x14ac:dyDescent="0.2">
      <c r="A1941" s="70"/>
      <c r="B1941" s="57"/>
      <c r="C1941" s="57"/>
      <c r="D1941" s="57"/>
      <c r="F1941" s="57"/>
      <c r="G1941" s="57"/>
    </row>
    <row r="1942" spans="1:7" x14ac:dyDescent="0.2">
      <c r="A1942" s="70"/>
      <c r="B1942" s="57"/>
      <c r="C1942" s="57"/>
      <c r="D1942" s="57"/>
      <c r="F1942" s="57"/>
      <c r="G1942" s="57"/>
    </row>
    <row r="1943" spans="1:7" x14ac:dyDescent="0.2">
      <c r="A1943" s="70"/>
      <c r="B1943" s="57"/>
      <c r="C1943" s="57"/>
      <c r="D1943" s="57"/>
      <c r="F1943" s="57"/>
      <c r="G1943" s="57"/>
    </row>
    <row r="1944" spans="1:7" x14ac:dyDescent="0.2">
      <c r="A1944" s="70"/>
      <c r="B1944" s="57"/>
      <c r="C1944" s="57"/>
      <c r="D1944" s="57"/>
      <c r="F1944" s="57"/>
      <c r="G1944" s="57"/>
    </row>
    <row r="1945" spans="1:7" x14ac:dyDescent="0.2">
      <c r="A1945" s="70"/>
      <c r="B1945" s="57"/>
      <c r="C1945" s="57"/>
      <c r="D1945" s="57"/>
      <c r="F1945" s="57"/>
      <c r="G1945" s="57"/>
    </row>
    <row r="1946" spans="1:7" x14ac:dyDescent="0.2">
      <c r="A1946" s="70"/>
      <c r="B1946" s="57"/>
      <c r="C1946" s="57"/>
      <c r="D1946" s="57"/>
      <c r="F1946" s="57"/>
      <c r="G1946" s="57"/>
    </row>
    <row r="1947" spans="1:7" x14ac:dyDescent="0.2">
      <c r="A1947" s="70"/>
      <c r="B1947" s="57"/>
      <c r="C1947" s="57"/>
      <c r="D1947" s="57"/>
      <c r="F1947" s="57"/>
      <c r="G1947" s="57"/>
    </row>
    <row r="1948" spans="1:7" x14ac:dyDescent="0.2">
      <c r="A1948" s="70"/>
      <c r="B1948" s="57"/>
      <c r="C1948" s="57"/>
      <c r="D1948" s="57"/>
      <c r="F1948" s="57"/>
      <c r="G1948" s="57"/>
    </row>
    <row r="1949" spans="1:7" x14ac:dyDescent="0.2">
      <c r="A1949" s="70"/>
      <c r="B1949" s="57"/>
      <c r="C1949" s="57"/>
      <c r="D1949" s="57"/>
      <c r="F1949" s="57"/>
      <c r="G1949" s="57"/>
    </row>
    <row r="1950" spans="1:7" x14ac:dyDescent="0.2">
      <c r="A1950" s="70"/>
      <c r="B1950" s="57"/>
      <c r="C1950" s="57"/>
      <c r="D1950" s="57"/>
      <c r="F1950" s="57"/>
      <c r="G1950" s="57"/>
    </row>
    <row r="1951" spans="1:7" x14ac:dyDescent="0.2">
      <c r="A1951" s="70"/>
      <c r="B1951" s="57"/>
      <c r="C1951" s="57"/>
      <c r="D1951" s="57"/>
      <c r="F1951" s="57"/>
      <c r="G1951" s="57"/>
    </row>
    <row r="1952" spans="1:7" x14ac:dyDescent="0.2">
      <c r="A1952" s="70"/>
      <c r="B1952" s="57"/>
      <c r="C1952" s="57"/>
      <c r="D1952" s="57"/>
      <c r="F1952" s="57"/>
      <c r="G1952" s="57"/>
    </row>
    <row r="1953" spans="1:7" x14ac:dyDescent="0.2">
      <c r="A1953" s="70"/>
      <c r="B1953" s="57"/>
      <c r="C1953" s="57"/>
      <c r="D1953" s="57"/>
      <c r="F1953" s="57"/>
      <c r="G1953" s="57"/>
    </row>
    <row r="1954" spans="1:7" x14ac:dyDescent="0.2">
      <c r="A1954" s="70"/>
      <c r="B1954" s="57"/>
      <c r="C1954" s="57"/>
      <c r="D1954" s="57"/>
      <c r="F1954" s="57"/>
      <c r="G1954" s="57"/>
    </row>
    <row r="1955" spans="1:7" x14ac:dyDescent="0.2">
      <c r="A1955" s="70"/>
      <c r="B1955" s="57"/>
      <c r="C1955" s="57"/>
      <c r="D1955" s="57"/>
      <c r="F1955" s="57"/>
      <c r="G1955" s="57"/>
    </row>
    <row r="1956" spans="1:7" x14ac:dyDescent="0.2">
      <c r="A1956" s="70"/>
      <c r="B1956" s="57"/>
      <c r="C1956" s="57"/>
      <c r="D1956" s="57"/>
      <c r="F1956" s="57"/>
      <c r="G1956" s="57"/>
    </row>
    <row r="1957" spans="1:7" x14ac:dyDescent="0.2">
      <c r="A1957" s="70"/>
      <c r="B1957" s="57"/>
      <c r="C1957" s="57"/>
      <c r="D1957" s="57"/>
      <c r="F1957" s="57"/>
      <c r="G1957" s="57"/>
    </row>
    <row r="1958" spans="1:7" x14ac:dyDescent="0.2">
      <c r="A1958" s="70"/>
      <c r="B1958" s="57"/>
      <c r="C1958" s="57"/>
      <c r="D1958" s="57"/>
      <c r="F1958" s="57"/>
      <c r="G1958" s="57"/>
    </row>
    <row r="1959" spans="1:7" x14ac:dyDescent="0.2">
      <c r="A1959" s="70"/>
      <c r="B1959" s="57"/>
      <c r="C1959" s="57"/>
      <c r="D1959" s="57"/>
      <c r="F1959" s="57"/>
      <c r="G1959" s="57"/>
    </row>
    <row r="1960" spans="1:7" x14ac:dyDescent="0.2">
      <c r="A1960" s="70"/>
      <c r="B1960" s="57"/>
      <c r="C1960" s="57"/>
      <c r="D1960" s="57"/>
      <c r="F1960" s="57"/>
      <c r="G1960" s="57"/>
    </row>
    <row r="1961" spans="1:7" x14ac:dyDescent="0.2">
      <c r="A1961" s="70"/>
      <c r="B1961" s="57"/>
      <c r="C1961" s="57"/>
      <c r="D1961" s="57"/>
      <c r="F1961" s="57"/>
      <c r="G1961" s="57"/>
    </row>
    <row r="1962" spans="1:7" x14ac:dyDescent="0.2">
      <c r="A1962" s="70"/>
      <c r="B1962" s="57"/>
      <c r="C1962" s="57"/>
      <c r="D1962" s="57"/>
      <c r="F1962" s="57"/>
      <c r="G1962" s="57"/>
    </row>
    <row r="1963" spans="1:7" x14ac:dyDescent="0.2">
      <c r="A1963" s="70"/>
      <c r="B1963" s="57"/>
      <c r="C1963" s="57"/>
      <c r="D1963" s="57"/>
      <c r="F1963" s="57"/>
      <c r="G1963" s="57"/>
    </row>
    <row r="1964" spans="1:7" x14ac:dyDescent="0.2">
      <c r="A1964" s="70"/>
      <c r="B1964" s="57"/>
      <c r="C1964" s="57"/>
      <c r="D1964" s="57"/>
      <c r="F1964" s="57"/>
      <c r="G1964" s="57"/>
    </row>
    <row r="1965" spans="1:7" x14ac:dyDescent="0.2">
      <c r="A1965" s="70"/>
      <c r="B1965" s="57"/>
      <c r="C1965" s="57"/>
      <c r="D1965" s="57"/>
      <c r="F1965" s="57"/>
      <c r="G1965" s="57"/>
    </row>
    <row r="1966" spans="1:7" x14ac:dyDescent="0.2">
      <c r="A1966" s="70"/>
      <c r="B1966" s="57"/>
      <c r="C1966" s="57"/>
      <c r="D1966" s="57"/>
      <c r="F1966" s="57"/>
      <c r="G1966" s="57"/>
    </row>
    <row r="1967" spans="1:7" x14ac:dyDescent="0.2">
      <c r="A1967" s="70"/>
      <c r="B1967" s="57"/>
      <c r="C1967" s="57"/>
      <c r="D1967" s="57"/>
      <c r="F1967" s="57"/>
      <c r="G1967" s="57"/>
    </row>
    <row r="1968" spans="1:7" x14ac:dyDescent="0.2">
      <c r="A1968" s="70"/>
      <c r="B1968" s="57"/>
      <c r="C1968" s="57"/>
      <c r="D1968" s="57"/>
      <c r="F1968" s="57"/>
      <c r="G1968" s="57"/>
    </row>
    <row r="1969" spans="1:7" x14ac:dyDescent="0.2">
      <c r="A1969" s="70"/>
      <c r="B1969" s="57"/>
      <c r="C1969" s="57"/>
      <c r="D1969" s="57"/>
      <c r="F1969" s="57"/>
      <c r="G1969" s="57"/>
    </row>
    <row r="1970" spans="1:7" x14ac:dyDescent="0.2">
      <c r="A1970" s="70"/>
      <c r="B1970" s="57"/>
      <c r="C1970" s="57"/>
      <c r="D1970" s="57"/>
      <c r="F1970" s="57"/>
      <c r="G1970" s="57"/>
    </row>
    <row r="1971" spans="1:7" x14ac:dyDescent="0.2">
      <c r="A1971" s="70"/>
      <c r="B1971" s="57"/>
      <c r="C1971" s="57"/>
      <c r="D1971" s="57"/>
      <c r="F1971" s="57"/>
      <c r="G1971" s="57"/>
    </row>
    <row r="1972" spans="1:7" x14ac:dyDescent="0.2">
      <c r="A1972" s="70"/>
      <c r="B1972" s="57"/>
      <c r="C1972" s="57"/>
      <c r="D1972" s="57"/>
      <c r="F1972" s="57"/>
      <c r="G1972" s="57"/>
    </row>
    <row r="1973" spans="1:7" x14ac:dyDescent="0.2">
      <c r="A1973" s="70"/>
      <c r="B1973" s="57"/>
      <c r="C1973" s="57"/>
      <c r="D1973" s="57"/>
      <c r="F1973" s="57"/>
      <c r="G1973" s="57"/>
    </row>
    <row r="1974" spans="1:7" x14ac:dyDescent="0.2">
      <c r="A1974" s="70"/>
      <c r="B1974" s="57"/>
      <c r="C1974" s="57"/>
      <c r="D1974" s="57"/>
      <c r="F1974" s="57"/>
      <c r="G1974" s="57"/>
    </row>
    <row r="1975" spans="1:7" x14ac:dyDescent="0.2">
      <c r="A1975" s="70"/>
      <c r="B1975" s="57"/>
      <c r="C1975" s="57"/>
      <c r="D1975" s="57"/>
      <c r="F1975" s="57"/>
      <c r="G1975" s="57"/>
    </row>
    <row r="1976" spans="1:7" x14ac:dyDescent="0.2">
      <c r="A1976" s="70"/>
      <c r="B1976" s="57"/>
      <c r="C1976" s="57"/>
      <c r="D1976" s="57"/>
      <c r="F1976" s="57"/>
      <c r="G1976" s="57"/>
    </row>
    <row r="1977" spans="1:7" x14ac:dyDescent="0.2">
      <c r="A1977" s="70"/>
      <c r="B1977" s="57"/>
      <c r="C1977" s="57"/>
      <c r="D1977" s="57"/>
      <c r="F1977" s="57"/>
      <c r="G1977" s="57"/>
    </row>
    <row r="1978" spans="1:7" x14ac:dyDescent="0.2">
      <c r="A1978" s="70"/>
      <c r="B1978" s="57"/>
      <c r="C1978" s="57"/>
      <c r="D1978" s="57"/>
      <c r="F1978" s="57"/>
      <c r="G1978" s="57"/>
    </row>
    <row r="1979" spans="1:7" x14ac:dyDescent="0.2">
      <c r="A1979" s="70"/>
      <c r="B1979" s="57"/>
      <c r="C1979" s="57"/>
      <c r="D1979" s="57"/>
      <c r="F1979" s="57"/>
      <c r="G1979" s="57"/>
    </row>
    <row r="1980" spans="1:7" x14ac:dyDescent="0.2">
      <c r="A1980" s="70"/>
      <c r="B1980" s="57"/>
      <c r="C1980" s="57"/>
      <c r="D1980" s="57"/>
      <c r="F1980" s="57"/>
      <c r="G1980" s="57"/>
    </row>
    <row r="1981" spans="1:7" x14ac:dyDescent="0.2">
      <c r="A1981" s="70"/>
      <c r="B1981" s="57"/>
      <c r="C1981" s="57"/>
      <c r="D1981" s="57"/>
      <c r="F1981" s="57"/>
      <c r="G1981" s="57"/>
    </row>
    <row r="1982" spans="1:7" x14ac:dyDescent="0.2">
      <c r="A1982" s="70"/>
      <c r="B1982" s="57"/>
      <c r="C1982" s="57"/>
      <c r="D1982" s="57"/>
      <c r="F1982" s="57"/>
      <c r="G1982" s="57"/>
    </row>
    <row r="1983" spans="1:7" x14ac:dyDescent="0.2">
      <c r="A1983" s="70"/>
      <c r="B1983" s="57"/>
      <c r="C1983" s="57"/>
      <c r="D1983" s="57"/>
      <c r="F1983" s="57"/>
      <c r="G1983" s="57"/>
    </row>
    <row r="1984" spans="1:7" x14ac:dyDescent="0.2">
      <c r="A1984" s="70"/>
      <c r="B1984" s="57"/>
      <c r="C1984" s="57"/>
      <c r="D1984" s="57"/>
      <c r="F1984" s="57"/>
      <c r="G1984" s="57"/>
    </row>
    <row r="1985" spans="1:7" x14ac:dyDescent="0.2">
      <c r="A1985" s="70"/>
      <c r="B1985" s="57"/>
      <c r="C1985" s="57"/>
      <c r="D1985" s="57"/>
      <c r="F1985" s="57"/>
      <c r="G1985" s="57"/>
    </row>
    <row r="1986" spans="1:7" x14ac:dyDescent="0.2">
      <c r="A1986" s="70"/>
      <c r="B1986" s="57"/>
      <c r="C1986" s="57"/>
      <c r="D1986" s="57"/>
      <c r="F1986" s="57"/>
      <c r="G1986" s="57"/>
    </row>
    <row r="1987" spans="1:7" x14ac:dyDescent="0.2">
      <c r="A1987" s="70"/>
      <c r="B1987" s="57"/>
      <c r="C1987" s="57"/>
      <c r="D1987" s="57"/>
      <c r="F1987" s="57"/>
      <c r="G1987" s="57"/>
    </row>
    <row r="1988" spans="1:7" x14ac:dyDescent="0.2">
      <c r="A1988" s="70"/>
      <c r="B1988" s="57"/>
      <c r="C1988" s="57"/>
      <c r="D1988" s="57"/>
      <c r="F1988" s="57"/>
      <c r="G1988" s="57"/>
    </row>
    <row r="1989" spans="1:7" x14ac:dyDescent="0.2">
      <c r="A1989" s="70"/>
      <c r="B1989" s="57"/>
      <c r="C1989" s="57"/>
      <c r="D1989" s="57"/>
      <c r="F1989" s="57"/>
      <c r="G1989" s="57"/>
    </row>
    <row r="1990" spans="1:7" x14ac:dyDescent="0.2">
      <c r="A1990" s="70"/>
      <c r="B1990" s="57"/>
      <c r="C1990" s="57"/>
      <c r="D1990" s="57"/>
      <c r="F1990" s="57"/>
      <c r="G1990" s="57"/>
    </row>
    <row r="1991" spans="1:7" x14ac:dyDescent="0.2">
      <c r="A1991" s="70"/>
      <c r="B1991" s="57"/>
      <c r="C1991" s="57"/>
      <c r="D1991" s="57"/>
      <c r="F1991" s="57"/>
      <c r="G1991" s="57"/>
    </row>
    <row r="1992" spans="1:7" x14ac:dyDescent="0.2">
      <c r="A1992" s="70"/>
      <c r="B1992" s="57"/>
      <c r="C1992" s="57"/>
      <c r="D1992" s="57"/>
      <c r="F1992" s="57"/>
      <c r="G1992" s="57"/>
    </row>
    <row r="1993" spans="1:7" x14ac:dyDescent="0.2">
      <c r="A1993" s="70"/>
      <c r="B1993" s="57"/>
      <c r="C1993" s="57"/>
      <c r="D1993" s="57"/>
      <c r="F1993" s="57"/>
      <c r="G1993" s="57"/>
    </row>
    <row r="1994" spans="1:7" x14ac:dyDescent="0.2">
      <c r="A1994" s="70"/>
      <c r="B1994" s="57"/>
      <c r="C1994" s="57"/>
      <c r="D1994" s="57"/>
      <c r="F1994" s="57"/>
      <c r="G1994" s="57"/>
    </row>
    <row r="1995" spans="1:7" x14ac:dyDescent="0.2">
      <c r="A1995" s="70"/>
      <c r="B1995" s="57"/>
      <c r="C1995" s="57"/>
      <c r="D1995" s="57"/>
      <c r="F1995" s="57"/>
      <c r="G1995" s="57"/>
    </row>
    <row r="1996" spans="1:7" x14ac:dyDescent="0.2">
      <c r="A1996" s="70"/>
      <c r="B1996" s="57"/>
      <c r="C1996" s="57"/>
      <c r="D1996" s="57"/>
      <c r="F1996" s="57"/>
      <c r="G1996" s="57"/>
    </row>
    <row r="1997" spans="1:7" x14ac:dyDescent="0.2">
      <c r="A1997" s="70"/>
      <c r="B1997" s="57"/>
      <c r="C1997" s="57"/>
      <c r="D1997" s="57"/>
      <c r="F1997" s="57"/>
      <c r="G1997" s="57"/>
    </row>
    <row r="1998" spans="1:7" x14ac:dyDescent="0.2">
      <c r="A1998" s="70"/>
      <c r="B1998" s="57"/>
      <c r="C1998" s="57"/>
      <c r="D1998" s="57"/>
      <c r="F1998" s="57"/>
      <c r="G1998" s="57"/>
    </row>
    <row r="1999" spans="1:7" x14ac:dyDescent="0.2">
      <c r="A1999" s="70"/>
      <c r="B1999" s="57"/>
      <c r="C1999" s="57"/>
      <c r="D1999" s="57"/>
      <c r="F1999" s="57"/>
      <c r="G1999" s="57"/>
    </row>
    <row r="2000" spans="1:7" x14ac:dyDescent="0.2">
      <c r="A2000" s="70"/>
      <c r="B2000" s="57"/>
      <c r="C2000" s="57"/>
      <c r="D2000" s="57"/>
      <c r="F2000" s="57"/>
      <c r="G2000" s="57"/>
    </row>
    <row r="2001" spans="1:7" x14ac:dyDescent="0.2">
      <c r="A2001" s="70"/>
      <c r="B2001" s="57"/>
      <c r="C2001" s="57"/>
      <c r="D2001" s="57"/>
      <c r="F2001" s="57"/>
      <c r="G2001" s="57"/>
    </row>
    <row r="2002" spans="1:7" x14ac:dyDescent="0.2">
      <c r="A2002" s="70"/>
      <c r="B2002" s="57"/>
      <c r="C2002" s="57"/>
      <c r="D2002" s="57"/>
      <c r="F2002" s="57"/>
      <c r="G2002" s="57"/>
    </row>
    <row r="2003" spans="1:7" x14ac:dyDescent="0.2">
      <c r="A2003" s="70"/>
      <c r="B2003" s="57"/>
      <c r="C2003" s="57"/>
      <c r="D2003" s="57"/>
      <c r="F2003" s="57"/>
      <c r="G2003" s="57"/>
    </row>
    <row r="2004" spans="1:7" x14ac:dyDescent="0.2">
      <c r="A2004" s="70"/>
      <c r="B2004" s="57"/>
      <c r="C2004" s="57"/>
      <c r="D2004" s="57"/>
      <c r="F2004" s="57"/>
      <c r="G2004" s="57"/>
    </row>
    <row r="2005" spans="1:7" x14ac:dyDescent="0.2">
      <c r="A2005" s="70"/>
      <c r="B2005" s="57"/>
      <c r="C2005" s="57"/>
      <c r="D2005" s="57"/>
      <c r="F2005" s="57"/>
      <c r="G2005" s="57"/>
    </row>
    <row r="2006" spans="1:7" x14ac:dyDescent="0.2">
      <c r="A2006" s="70"/>
      <c r="B2006" s="57"/>
      <c r="C2006" s="57"/>
      <c r="D2006" s="57"/>
      <c r="F2006" s="57"/>
      <c r="G2006" s="57"/>
    </row>
    <row r="2007" spans="1:7" x14ac:dyDescent="0.2">
      <c r="A2007" s="70"/>
      <c r="B2007" s="57"/>
      <c r="C2007" s="57"/>
      <c r="D2007" s="57"/>
      <c r="F2007" s="57"/>
      <c r="G2007" s="57"/>
    </row>
    <row r="2008" spans="1:7" x14ac:dyDescent="0.2">
      <c r="A2008" s="70"/>
      <c r="B2008" s="57"/>
      <c r="C2008" s="57"/>
      <c r="D2008" s="57"/>
      <c r="F2008" s="57"/>
      <c r="G2008" s="57"/>
    </row>
    <row r="2009" spans="1:7" x14ac:dyDescent="0.2">
      <c r="A2009" s="70"/>
      <c r="B2009" s="57"/>
      <c r="C2009" s="57"/>
      <c r="D2009" s="57"/>
      <c r="F2009" s="57"/>
      <c r="G2009" s="57"/>
    </row>
    <row r="2010" spans="1:7" x14ac:dyDescent="0.2">
      <c r="A2010" s="70"/>
      <c r="B2010" s="57"/>
      <c r="C2010" s="57"/>
      <c r="D2010" s="57"/>
      <c r="F2010" s="57"/>
      <c r="G2010" s="57"/>
    </row>
    <row r="2011" spans="1:7" x14ac:dyDescent="0.2">
      <c r="A2011" s="70"/>
      <c r="B2011" s="57"/>
      <c r="C2011" s="57"/>
      <c r="D2011" s="57"/>
      <c r="F2011" s="57"/>
      <c r="G2011" s="57"/>
    </row>
    <row r="2012" spans="1:7" x14ac:dyDescent="0.2">
      <c r="A2012" s="70"/>
      <c r="B2012" s="57"/>
      <c r="C2012" s="57"/>
      <c r="D2012" s="57"/>
      <c r="F2012" s="57"/>
      <c r="G2012" s="57"/>
    </row>
    <row r="2013" spans="1:7" x14ac:dyDescent="0.2">
      <c r="A2013" s="70"/>
      <c r="B2013" s="57"/>
      <c r="C2013" s="57"/>
      <c r="D2013" s="57"/>
      <c r="F2013" s="57"/>
      <c r="G2013" s="57"/>
    </row>
    <row r="2014" spans="1:7" x14ac:dyDescent="0.2">
      <c r="A2014" s="70"/>
      <c r="B2014" s="57"/>
      <c r="C2014" s="57"/>
      <c r="D2014" s="57"/>
      <c r="F2014" s="57"/>
      <c r="G2014" s="57"/>
    </row>
    <row r="2015" spans="1:7" x14ac:dyDescent="0.2">
      <c r="A2015" s="70"/>
      <c r="B2015" s="57"/>
      <c r="C2015" s="57"/>
      <c r="D2015" s="57"/>
      <c r="F2015" s="57"/>
      <c r="G2015" s="57"/>
    </row>
    <row r="2016" spans="1:7" x14ac:dyDescent="0.2">
      <c r="A2016" s="70"/>
      <c r="B2016" s="57"/>
      <c r="C2016" s="57"/>
      <c r="D2016" s="57"/>
      <c r="F2016" s="57"/>
      <c r="G2016" s="57"/>
    </row>
    <row r="2017" spans="1:7" x14ac:dyDescent="0.2">
      <c r="A2017" s="70"/>
      <c r="B2017" s="57"/>
      <c r="C2017" s="57"/>
      <c r="D2017" s="57"/>
      <c r="F2017" s="57"/>
      <c r="G2017" s="57"/>
    </row>
    <row r="2018" spans="1:7" x14ac:dyDescent="0.2">
      <c r="A2018" s="70"/>
      <c r="B2018" s="57"/>
      <c r="C2018" s="57"/>
      <c r="D2018" s="57"/>
      <c r="F2018" s="57"/>
      <c r="G2018" s="57"/>
    </row>
    <row r="2019" spans="1:7" x14ac:dyDescent="0.2">
      <c r="A2019" s="70"/>
      <c r="B2019" s="57"/>
      <c r="C2019" s="57"/>
      <c r="D2019" s="57"/>
      <c r="F2019" s="57"/>
      <c r="G2019" s="57"/>
    </row>
    <row r="2020" spans="1:7" x14ac:dyDescent="0.2">
      <c r="A2020" s="70"/>
      <c r="B2020" s="57"/>
      <c r="C2020" s="57"/>
      <c r="D2020" s="57"/>
      <c r="F2020" s="57"/>
      <c r="G2020" s="57"/>
    </row>
    <row r="2021" spans="1:7" x14ac:dyDescent="0.2">
      <c r="A2021" s="70"/>
      <c r="B2021" s="57"/>
      <c r="C2021" s="57"/>
      <c r="D2021" s="57"/>
      <c r="F2021" s="57"/>
      <c r="G2021" s="57"/>
    </row>
    <row r="2022" spans="1:7" x14ac:dyDescent="0.2">
      <c r="A2022" s="70"/>
      <c r="B2022" s="57"/>
      <c r="C2022" s="57"/>
      <c r="D2022" s="57"/>
      <c r="F2022" s="57"/>
      <c r="G2022" s="57"/>
    </row>
    <row r="2023" spans="1:7" x14ac:dyDescent="0.2">
      <c r="A2023" s="70"/>
      <c r="B2023" s="57"/>
      <c r="C2023" s="57"/>
      <c r="D2023" s="57"/>
      <c r="F2023" s="57"/>
      <c r="G2023" s="57"/>
    </row>
    <row r="2024" spans="1:7" x14ac:dyDescent="0.2">
      <c r="A2024" s="70"/>
      <c r="B2024" s="57"/>
      <c r="C2024" s="57"/>
      <c r="D2024" s="57"/>
      <c r="F2024" s="57"/>
      <c r="G2024" s="57"/>
    </row>
    <row r="2025" spans="1:7" x14ac:dyDescent="0.2">
      <c r="A2025" s="70"/>
      <c r="B2025" s="57"/>
      <c r="C2025" s="57"/>
      <c r="D2025" s="57"/>
      <c r="F2025" s="57"/>
      <c r="G2025" s="57"/>
    </row>
    <row r="2026" spans="1:7" x14ac:dyDescent="0.2">
      <c r="A2026" s="70"/>
      <c r="B2026" s="57"/>
      <c r="C2026" s="57"/>
      <c r="D2026" s="57"/>
      <c r="F2026" s="57"/>
      <c r="G2026" s="57"/>
    </row>
    <row r="2027" spans="1:7" x14ac:dyDescent="0.2">
      <c r="A2027" s="70"/>
      <c r="B2027" s="57"/>
      <c r="C2027" s="57"/>
      <c r="D2027" s="57"/>
      <c r="F2027" s="57"/>
      <c r="G2027" s="57"/>
    </row>
    <row r="2028" spans="1:7" x14ac:dyDescent="0.2">
      <c r="A2028" s="70"/>
      <c r="B2028" s="57"/>
      <c r="C2028" s="57"/>
      <c r="D2028" s="57"/>
      <c r="F2028" s="57"/>
      <c r="G2028" s="57"/>
    </row>
    <row r="2029" spans="1:7" x14ac:dyDescent="0.2">
      <c r="A2029" s="70"/>
      <c r="B2029" s="57"/>
      <c r="C2029" s="57"/>
      <c r="D2029" s="57"/>
      <c r="F2029" s="57"/>
      <c r="G2029" s="57"/>
    </row>
    <row r="2030" spans="1:7" x14ac:dyDescent="0.2">
      <c r="A2030" s="70"/>
      <c r="B2030" s="57"/>
      <c r="C2030" s="57"/>
      <c r="D2030" s="57"/>
      <c r="F2030" s="57"/>
      <c r="G2030" s="57"/>
    </row>
    <row r="2031" spans="1:7" x14ac:dyDescent="0.2">
      <c r="A2031" s="70"/>
      <c r="B2031" s="57"/>
      <c r="C2031" s="57"/>
      <c r="D2031" s="57"/>
      <c r="F2031" s="57"/>
      <c r="G2031" s="57"/>
    </row>
    <row r="2032" spans="1:7" x14ac:dyDescent="0.2">
      <c r="A2032" s="70"/>
      <c r="B2032" s="57"/>
      <c r="C2032" s="57"/>
      <c r="D2032" s="57"/>
      <c r="F2032" s="57"/>
      <c r="G2032" s="57"/>
    </row>
    <row r="2033" spans="1:7" x14ac:dyDescent="0.2">
      <c r="A2033" s="70"/>
      <c r="B2033" s="57"/>
      <c r="C2033" s="57"/>
      <c r="D2033" s="57"/>
      <c r="F2033" s="57"/>
      <c r="G2033" s="57"/>
    </row>
    <row r="2034" spans="1:7" x14ac:dyDescent="0.2">
      <c r="A2034" s="70"/>
      <c r="B2034" s="57"/>
      <c r="C2034" s="57"/>
      <c r="D2034" s="57"/>
      <c r="F2034" s="57"/>
      <c r="G2034" s="57"/>
    </row>
    <row r="2035" spans="1:7" x14ac:dyDescent="0.2">
      <c r="A2035" s="70"/>
      <c r="B2035" s="57"/>
      <c r="C2035" s="57"/>
      <c r="D2035" s="57"/>
      <c r="F2035" s="57"/>
      <c r="G2035" s="57"/>
    </row>
    <row r="2036" spans="1:7" x14ac:dyDescent="0.2">
      <c r="A2036" s="70"/>
      <c r="B2036" s="57"/>
      <c r="C2036" s="57"/>
      <c r="D2036" s="57"/>
      <c r="F2036" s="57"/>
      <c r="G2036" s="57"/>
    </row>
    <row r="2037" spans="1:7" x14ac:dyDescent="0.2">
      <c r="A2037" s="70"/>
      <c r="B2037" s="57"/>
      <c r="C2037" s="57"/>
      <c r="D2037" s="57"/>
      <c r="F2037" s="57"/>
      <c r="G2037" s="57"/>
    </row>
    <row r="2038" spans="1:7" x14ac:dyDescent="0.2">
      <c r="A2038" s="70"/>
      <c r="B2038" s="57"/>
      <c r="C2038" s="57"/>
      <c r="D2038" s="57"/>
      <c r="F2038" s="57"/>
      <c r="G2038" s="57"/>
    </row>
    <row r="2039" spans="1:7" x14ac:dyDescent="0.2">
      <c r="A2039" s="70"/>
      <c r="B2039" s="57"/>
      <c r="C2039" s="57"/>
      <c r="D2039" s="57"/>
      <c r="F2039" s="57"/>
      <c r="G2039" s="57"/>
    </row>
    <row r="2040" spans="1:7" x14ac:dyDescent="0.2">
      <c r="A2040" s="70"/>
      <c r="B2040" s="57"/>
      <c r="C2040" s="57"/>
      <c r="D2040" s="57"/>
      <c r="F2040" s="57"/>
      <c r="G2040" s="57"/>
    </row>
    <row r="2041" spans="1:7" x14ac:dyDescent="0.2">
      <c r="A2041" s="70"/>
      <c r="B2041" s="57"/>
      <c r="C2041" s="57"/>
      <c r="D2041" s="57"/>
      <c r="F2041" s="57"/>
      <c r="G2041" s="57"/>
    </row>
    <row r="2042" spans="1:7" x14ac:dyDescent="0.2">
      <c r="A2042" s="70"/>
      <c r="B2042" s="57"/>
      <c r="C2042" s="57"/>
      <c r="D2042" s="57"/>
      <c r="F2042" s="57"/>
      <c r="G2042" s="57"/>
    </row>
    <row r="2043" spans="1:7" x14ac:dyDescent="0.2">
      <c r="A2043" s="70"/>
      <c r="B2043" s="57"/>
      <c r="C2043" s="57"/>
      <c r="D2043" s="57"/>
      <c r="F2043" s="57"/>
      <c r="G2043" s="57"/>
    </row>
    <row r="2044" spans="1:7" x14ac:dyDescent="0.2">
      <c r="A2044" s="70"/>
      <c r="B2044" s="57"/>
      <c r="C2044" s="57"/>
      <c r="D2044" s="57"/>
      <c r="F2044" s="57"/>
      <c r="G2044" s="57"/>
    </row>
    <row r="2045" spans="1:7" x14ac:dyDescent="0.2">
      <c r="A2045" s="70"/>
      <c r="B2045" s="57"/>
      <c r="C2045" s="57"/>
      <c r="D2045" s="57"/>
      <c r="F2045" s="57"/>
      <c r="G2045" s="57"/>
    </row>
    <row r="2046" spans="1:7" x14ac:dyDescent="0.2">
      <c r="A2046" s="70"/>
      <c r="B2046" s="57"/>
      <c r="C2046" s="57"/>
      <c r="D2046" s="57"/>
      <c r="F2046" s="57"/>
      <c r="G2046" s="57"/>
    </row>
    <row r="2047" spans="1:7" x14ac:dyDescent="0.2">
      <c r="A2047" s="70"/>
      <c r="B2047" s="57"/>
      <c r="C2047" s="57"/>
      <c r="D2047" s="57"/>
      <c r="F2047" s="57"/>
      <c r="G2047" s="57"/>
    </row>
    <row r="2048" spans="1:7" x14ac:dyDescent="0.2">
      <c r="A2048" s="70"/>
      <c r="B2048" s="57"/>
      <c r="C2048" s="57"/>
      <c r="D2048" s="57"/>
      <c r="F2048" s="57"/>
      <c r="G2048" s="57"/>
    </row>
    <row r="2049" spans="1:7" x14ac:dyDescent="0.2">
      <c r="A2049" s="70"/>
      <c r="B2049" s="57"/>
      <c r="C2049" s="57"/>
      <c r="D2049" s="57"/>
      <c r="F2049" s="57"/>
      <c r="G2049" s="57"/>
    </row>
    <row r="2050" spans="1:7" x14ac:dyDescent="0.2">
      <c r="A2050" s="70"/>
      <c r="B2050" s="57"/>
      <c r="C2050" s="57"/>
      <c r="D2050" s="57"/>
      <c r="F2050" s="57"/>
      <c r="G2050" s="57"/>
    </row>
    <row r="2051" spans="1:7" x14ac:dyDescent="0.2">
      <c r="A2051" s="70"/>
      <c r="B2051" s="57"/>
      <c r="C2051" s="57"/>
      <c r="D2051" s="57"/>
      <c r="F2051" s="57"/>
      <c r="G2051" s="57"/>
    </row>
    <row r="2052" spans="1:7" x14ac:dyDescent="0.2">
      <c r="A2052" s="70"/>
      <c r="B2052" s="57"/>
      <c r="C2052" s="57"/>
      <c r="D2052" s="57"/>
      <c r="F2052" s="57"/>
      <c r="G2052" s="57"/>
    </row>
    <row r="2053" spans="1:7" x14ac:dyDescent="0.2">
      <c r="A2053" s="70"/>
      <c r="B2053" s="57"/>
      <c r="C2053" s="57"/>
      <c r="D2053" s="57"/>
      <c r="F2053" s="57"/>
      <c r="G2053" s="57"/>
    </row>
    <row r="2054" spans="1:7" x14ac:dyDescent="0.2">
      <c r="A2054" s="70"/>
      <c r="B2054" s="57"/>
      <c r="C2054" s="57"/>
      <c r="D2054" s="57"/>
      <c r="F2054" s="57"/>
      <c r="G2054" s="57"/>
    </row>
    <row r="2055" spans="1:7" x14ac:dyDescent="0.2">
      <c r="A2055" s="70"/>
      <c r="B2055" s="57"/>
      <c r="C2055" s="57"/>
      <c r="D2055" s="57"/>
      <c r="F2055" s="57"/>
      <c r="G2055" s="57"/>
    </row>
    <row r="2056" spans="1:7" x14ac:dyDescent="0.2">
      <c r="A2056" s="70"/>
      <c r="B2056" s="57"/>
      <c r="C2056" s="57"/>
      <c r="D2056" s="57"/>
      <c r="F2056" s="57"/>
      <c r="G2056" s="57"/>
    </row>
    <row r="2057" spans="1:7" x14ac:dyDescent="0.2">
      <c r="A2057" s="70"/>
      <c r="B2057" s="57"/>
      <c r="C2057" s="57"/>
      <c r="D2057" s="57"/>
      <c r="F2057" s="57"/>
      <c r="G2057" s="57"/>
    </row>
    <row r="2058" spans="1:7" x14ac:dyDescent="0.2">
      <c r="A2058" s="70"/>
      <c r="B2058" s="57"/>
      <c r="C2058" s="57"/>
      <c r="D2058" s="57"/>
      <c r="F2058" s="57"/>
      <c r="G2058" s="57"/>
    </row>
    <row r="2059" spans="1:7" x14ac:dyDescent="0.2">
      <c r="A2059" s="70"/>
      <c r="B2059" s="57"/>
      <c r="C2059" s="57"/>
      <c r="D2059" s="57"/>
      <c r="F2059" s="57"/>
      <c r="G2059" s="57"/>
    </row>
    <row r="2060" spans="1:7" x14ac:dyDescent="0.2">
      <c r="A2060" s="70"/>
      <c r="B2060" s="57"/>
      <c r="C2060" s="57"/>
      <c r="D2060" s="57"/>
      <c r="F2060" s="57"/>
      <c r="G2060" s="57"/>
    </row>
    <row r="2061" spans="1:7" x14ac:dyDescent="0.2">
      <c r="A2061" s="70"/>
      <c r="B2061" s="57"/>
      <c r="C2061" s="57"/>
      <c r="D2061" s="57"/>
      <c r="F2061" s="57"/>
      <c r="G2061" s="57"/>
    </row>
    <row r="2062" spans="1:7" x14ac:dyDescent="0.2">
      <c r="A2062" s="70"/>
      <c r="B2062" s="57"/>
      <c r="C2062" s="57"/>
      <c r="D2062" s="57"/>
      <c r="F2062" s="57"/>
      <c r="G2062" s="57"/>
    </row>
    <row r="2063" spans="1:7" x14ac:dyDescent="0.2">
      <c r="A2063" s="70"/>
      <c r="B2063" s="57"/>
      <c r="C2063" s="57"/>
      <c r="D2063" s="57"/>
      <c r="F2063" s="57"/>
      <c r="G2063" s="57"/>
    </row>
    <row r="2064" spans="1:7" x14ac:dyDescent="0.2">
      <c r="A2064" s="70"/>
      <c r="B2064" s="57"/>
      <c r="C2064" s="57"/>
      <c r="D2064" s="57"/>
      <c r="F2064" s="57"/>
      <c r="G2064" s="57"/>
    </row>
    <row r="2065" spans="1:7" x14ac:dyDescent="0.2">
      <c r="A2065" s="70"/>
      <c r="B2065" s="57"/>
      <c r="C2065" s="57"/>
      <c r="D2065" s="57"/>
      <c r="F2065" s="57"/>
      <c r="G2065" s="57"/>
    </row>
    <row r="2066" spans="1:7" x14ac:dyDescent="0.2">
      <c r="A2066" s="70"/>
      <c r="B2066" s="57"/>
      <c r="C2066" s="57"/>
      <c r="D2066" s="57"/>
      <c r="F2066" s="57"/>
      <c r="G2066" s="57"/>
    </row>
    <row r="2067" spans="1:7" x14ac:dyDescent="0.2">
      <c r="A2067" s="70"/>
      <c r="B2067" s="57"/>
      <c r="C2067" s="57"/>
      <c r="D2067" s="57"/>
      <c r="F2067" s="57"/>
      <c r="G2067" s="57"/>
    </row>
    <row r="2068" spans="1:7" x14ac:dyDescent="0.2">
      <c r="A2068" s="70"/>
      <c r="B2068" s="57"/>
      <c r="C2068" s="57"/>
      <c r="D2068" s="57"/>
      <c r="F2068" s="57"/>
      <c r="G2068" s="57"/>
    </row>
    <row r="2069" spans="1:7" x14ac:dyDescent="0.2">
      <c r="A2069" s="70"/>
      <c r="B2069" s="57"/>
      <c r="C2069" s="57"/>
      <c r="D2069" s="57"/>
      <c r="F2069" s="57"/>
      <c r="G2069" s="57"/>
    </row>
    <row r="2070" spans="1:7" x14ac:dyDescent="0.2">
      <c r="A2070" s="70"/>
      <c r="B2070" s="57"/>
      <c r="C2070" s="57"/>
      <c r="D2070" s="57"/>
      <c r="F2070" s="57"/>
      <c r="G2070" s="57"/>
    </row>
    <row r="2071" spans="1:7" x14ac:dyDescent="0.2">
      <c r="A2071" s="70"/>
      <c r="B2071" s="57"/>
      <c r="C2071" s="57"/>
      <c r="D2071" s="57"/>
      <c r="F2071" s="57"/>
      <c r="G2071" s="57"/>
    </row>
    <row r="2072" spans="1:7" x14ac:dyDescent="0.2">
      <c r="A2072" s="70"/>
      <c r="B2072" s="57"/>
      <c r="C2072" s="57"/>
      <c r="D2072" s="57"/>
      <c r="F2072" s="57"/>
      <c r="G2072" s="57"/>
    </row>
    <row r="2073" spans="1:7" x14ac:dyDescent="0.2">
      <c r="A2073" s="70"/>
      <c r="B2073" s="57"/>
      <c r="C2073" s="57"/>
      <c r="D2073" s="57"/>
      <c r="F2073" s="57"/>
      <c r="G2073" s="57"/>
    </row>
    <row r="2074" spans="1:7" x14ac:dyDescent="0.2">
      <c r="A2074" s="70"/>
      <c r="B2074" s="57"/>
      <c r="C2074" s="57"/>
      <c r="D2074" s="57"/>
      <c r="F2074" s="57"/>
      <c r="G2074" s="57"/>
    </row>
    <row r="2075" spans="1:7" x14ac:dyDescent="0.2">
      <c r="A2075" s="70"/>
      <c r="B2075" s="57"/>
      <c r="C2075" s="57"/>
      <c r="D2075" s="57"/>
      <c r="F2075" s="57"/>
      <c r="G2075" s="57"/>
    </row>
    <row r="2076" spans="1:7" x14ac:dyDescent="0.2">
      <c r="A2076" s="70"/>
      <c r="B2076" s="57"/>
      <c r="C2076" s="57"/>
      <c r="D2076" s="57"/>
      <c r="F2076" s="57"/>
      <c r="G2076" s="57"/>
    </row>
    <row r="2077" spans="1:7" x14ac:dyDescent="0.2">
      <c r="A2077" s="70"/>
      <c r="B2077" s="57"/>
      <c r="C2077" s="57"/>
      <c r="D2077" s="57"/>
      <c r="F2077" s="57"/>
      <c r="G2077" s="57"/>
    </row>
    <row r="2078" spans="1:7" x14ac:dyDescent="0.2">
      <c r="A2078" s="70"/>
      <c r="B2078" s="57"/>
      <c r="C2078" s="57"/>
      <c r="D2078" s="57"/>
      <c r="F2078" s="57"/>
      <c r="G2078" s="57"/>
    </row>
    <row r="2079" spans="1:7" x14ac:dyDescent="0.2">
      <c r="A2079" s="70"/>
      <c r="B2079" s="57"/>
      <c r="C2079" s="57"/>
      <c r="D2079" s="57"/>
      <c r="F2079" s="57"/>
      <c r="G2079" s="57"/>
    </row>
    <row r="2080" spans="1:7" x14ac:dyDescent="0.2">
      <c r="A2080" s="70"/>
      <c r="B2080" s="57"/>
      <c r="C2080" s="57"/>
      <c r="D2080" s="57"/>
      <c r="F2080" s="57"/>
      <c r="G2080" s="57"/>
    </row>
    <row r="2081" spans="1:7" x14ac:dyDescent="0.2">
      <c r="A2081" s="70"/>
      <c r="B2081" s="57"/>
      <c r="C2081" s="57"/>
      <c r="D2081" s="57"/>
      <c r="F2081" s="57"/>
      <c r="G2081" s="57"/>
    </row>
    <row r="2082" spans="1:7" x14ac:dyDescent="0.2">
      <c r="A2082" s="70"/>
      <c r="B2082" s="57"/>
      <c r="C2082" s="57"/>
      <c r="D2082" s="57"/>
      <c r="F2082" s="57"/>
      <c r="G2082" s="57"/>
    </row>
    <row r="2083" spans="1:7" x14ac:dyDescent="0.2">
      <c r="A2083" s="70"/>
      <c r="B2083" s="57"/>
      <c r="C2083" s="57"/>
      <c r="D2083" s="57"/>
      <c r="F2083" s="57"/>
      <c r="G2083" s="57"/>
    </row>
    <row r="2084" spans="1:7" x14ac:dyDescent="0.2">
      <c r="A2084" s="70"/>
      <c r="B2084" s="57"/>
      <c r="C2084" s="57"/>
      <c r="D2084" s="57"/>
      <c r="F2084" s="57"/>
      <c r="G2084" s="57"/>
    </row>
    <row r="2085" spans="1:7" x14ac:dyDescent="0.2">
      <c r="A2085" s="70"/>
      <c r="B2085" s="57"/>
      <c r="C2085" s="57"/>
      <c r="D2085" s="57"/>
      <c r="F2085" s="57"/>
      <c r="G2085" s="57"/>
    </row>
    <row r="2086" spans="1:7" x14ac:dyDescent="0.2">
      <c r="A2086" s="70"/>
      <c r="B2086" s="57"/>
      <c r="C2086" s="57"/>
      <c r="D2086" s="57"/>
      <c r="F2086" s="57"/>
      <c r="G2086" s="57"/>
    </row>
    <row r="2087" spans="1:7" x14ac:dyDescent="0.2">
      <c r="A2087" s="70"/>
      <c r="B2087" s="57"/>
      <c r="C2087" s="57"/>
      <c r="D2087" s="57"/>
      <c r="F2087" s="57"/>
      <c r="G2087" s="57"/>
    </row>
    <row r="2088" spans="1:7" x14ac:dyDescent="0.2">
      <c r="A2088" s="70"/>
      <c r="B2088" s="57"/>
      <c r="C2088" s="57"/>
      <c r="D2088" s="57"/>
      <c r="F2088" s="57"/>
      <c r="G2088" s="57"/>
    </row>
    <row r="2089" spans="1:7" x14ac:dyDescent="0.2">
      <c r="A2089" s="70"/>
      <c r="B2089" s="57"/>
      <c r="C2089" s="57"/>
      <c r="D2089" s="57"/>
      <c r="F2089" s="57"/>
      <c r="G2089" s="57"/>
    </row>
    <row r="2090" spans="1:7" x14ac:dyDescent="0.2">
      <c r="A2090" s="70"/>
      <c r="B2090" s="57"/>
      <c r="C2090" s="57"/>
      <c r="D2090" s="57"/>
      <c r="F2090" s="57"/>
      <c r="G2090" s="57"/>
    </row>
    <row r="2091" spans="1:7" x14ac:dyDescent="0.2">
      <c r="A2091" s="70"/>
      <c r="B2091" s="57"/>
      <c r="C2091" s="57"/>
      <c r="D2091" s="57"/>
      <c r="F2091" s="57"/>
      <c r="G2091" s="57"/>
    </row>
    <row r="2092" spans="1:7" x14ac:dyDescent="0.2">
      <c r="A2092" s="70"/>
      <c r="B2092" s="57"/>
      <c r="C2092" s="57"/>
      <c r="D2092" s="57"/>
      <c r="F2092" s="57"/>
      <c r="G2092" s="57"/>
    </row>
    <row r="2093" spans="1:7" x14ac:dyDescent="0.2">
      <c r="A2093" s="70"/>
      <c r="B2093" s="57"/>
      <c r="C2093" s="57"/>
      <c r="D2093" s="57"/>
      <c r="F2093" s="57"/>
      <c r="G2093" s="57"/>
    </row>
    <row r="2094" spans="1:7" x14ac:dyDescent="0.2">
      <c r="A2094" s="70"/>
      <c r="B2094" s="57"/>
      <c r="C2094" s="57"/>
      <c r="D2094" s="57"/>
      <c r="F2094" s="57"/>
      <c r="G2094" s="57"/>
    </row>
    <row r="2095" spans="1:7" x14ac:dyDescent="0.2">
      <c r="A2095" s="70"/>
      <c r="B2095" s="57"/>
      <c r="C2095" s="57"/>
      <c r="D2095" s="57"/>
      <c r="F2095" s="57"/>
      <c r="G2095" s="57"/>
    </row>
    <row r="2096" spans="1:7" x14ac:dyDescent="0.2">
      <c r="A2096" s="70"/>
      <c r="B2096" s="57"/>
      <c r="C2096" s="57"/>
      <c r="D2096" s="57"/>
      <c r="F2096" s="57"/>
      <c r="G2096" s="57"/>
    </row>
    <row r="2097" spans="1:7" x14ac:dyDescent="0.2">
      <c r="A2097" s="70"/>
      <c r="B2097" s="57"/>
      <c r="C2097" s="57"/>
      <c r="D2097" s="57"/>
      <c r="F2097" s="57"/>
      <c r="G2097" s="57"/>
    </row>
    <row r="2098" spans="1:7" x14ac:dyDescent="0.2">
      <c r="A2098" s="70"/>
      <c r="B2098" s="57"/>
      <c r="C2098" s="57"/>
      <c r="D2098" s="57"/>
      <c r="F2098" s="57"/>
      <c r="G2098" s="57"/>
    </row>
    <row r="2099" spans="1:7" x14ac:dyDescent="0.2">
      <c r="A2099" s="70"/>
      <c r="B2099" s="57"/>
      <c r="C2099" s="57"/>
      <c r="D2099" s="57"/>
      <c r="F2099" s="57"/>
      <c r="G2099" s="57"/>
    </row>
    <row r="2100" spans="1:7" x14ac:dyDescent="0.2">
      <c r="A2100" s="70"/>
      <c r="B2100" s="57"/>
      <c r="C2100" s="57"/>
      <c r="D2100" s="57"/>
      <c r="F2100" s="57"/>
      <c r="G2100" s="57"/>
    </row>
    <row r="2101" spans="1:7" x14ac:dyDescent="0.2">
      <c r="A2101" s="70"/>
      <c r="B2101" s="57"/>
      <c r="C2101" s="57"/>
      <c r="D2101" s="57"/>
      <c r="F2101" s="57"/>
      <c r="G2101" s="5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2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59765625" customWidth="1"/>
    <col min="2" max="2" width="9" customWidth="1"/>
    <col min="3" max="5" width="10.796875" customWidth="1"/>
    <col min="6" max="6" width="6.796875" customWidth="1"/>
    <col min="7" max="7" width="4.796875" customWidth="1"/>
    <col min="8" max="8" width="5" customWidth="1"/>
    <col min="9" max="9" width="4.59765625" customWidth="1"/>
    <col min="10" max="10" width="4.796875" customWidth="1"/>
  </cols>
  <sheetData>
    <row r="1" spans="1:27" x14ac:dyDescent="0.2">
      <c r="A1" s="68" t="s">
        <v>199</v>
      </c>
      <c r="B1" s="68" t="s">
        <v>200</v>
      </c>
      <c r="C1" s="68" t="s">
        <v>201</v>
      </c>
      <c r="D1" s="68" t="s">
        <v>202</v>
      </c>
      <c r="E1" s="68" t="s">
        <v>172</v>
      </c>
      <c r="F1" s="68" t="s">
        <v>203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 spans="1:27" x14ac:dyDescent="0.2">
      <c r="A2" s="70">
        <v>44620</v>
      </c>
      <c r="B2" s="57">
        <v>2381</v>
      </c>
      <c r="C2" s="57">
        <v>2381</v>
      </c>
      <c r="D2" s="57">
        <v>1</v>
      </c>
      <c r="E2" s="57">
        <v>9.4E-2</v>
      </c>
      <c r="F2" s="57">
        <v>3</v>
      </c>
    </row>
    <row r="3" spans="1:27" x14ac:dyDescent="0.2">
      <c r="A3" s="70">
        <v>44620</v>
      </c>
      <c r="B3" s="57">
        <v>2351.0500000000002</v>
      </c>
      <c r="C3" s="57">
        <v>2351</v>
      </c>
      <c r="D3" s="57">
        <v>5</v>
      </c>
      <c r="E3" s="57">
        <v>0.80900000000000005</v>
      </c>
      <c r="F3" s="57">
        <v>3</v>
      </c>
    </row>
    <row r="4" spans="1:27" x14ac:dyDescent="0.2">
      <c r="A4" s="70">
        <v>44620</v>
      </c>
      <c r="B4" s="57">
        <v>2384</v>
      </c>
      <c r="C4" s="57">
        <v>2384</v>
      </c>
      <c r="D4" s="57">
        <v>3</v>
      </c>
      <c r="E4" s="57">
        <v>0.125</v>
      </c>
      <c r="F4" s="57">
        <v>3</v>
      </c>
    </row>
    <row r="5" spans="1:27" x14ac:dyDescent="0.2">
      <c r="A5" s="70">
        <v>44620</v>
      </c>
      <c r="B5" s="57">
        <v>2381.0700000000002</v>
      </c>
      <c r="C5" s="57">
        <v>2381</v>
      </c>
      <c r="D5" s="57">
        <v>7</v>
      </c>
      <c r="E5" s="57">
        <v>0.497</v>
      </c>
      <c r="F5" s="57">
        <v>3</v>
      </c>
    </row>
    <row r="6" spans="1:27" x14ac:dyDescent="0.2">
      <c r="A6" s="70">
        <v>44620</v>
      </c>
      <c r="B6" s="57">
        <v>2384</v>
      </c>
      <c r="C6" s="57">
        <v>2384</v>
      </c>
      <c r="D6" s="57">
        <v>7</v>
      </c>
      <c r="E6" s="57">
        <v>0.13400000000000001</v>
      </c>
      <c r="F6" s="57">
        <v>3</v>
      </c>
    </row>
    <row r="7" spans="1:27" x14ac:dyDescent="0.2">
      <c r="A7" s="70">
        <v>44620</v>
      </c>
      <c r="B7" s="57">
        <v>2381</v>
      </c>
      <c r="C7" s="57">
        <v>2381</v>
      </c>
      <c r="D7" s="57">
        <v>1</v>
      </c>
      <c r="E7" s="57">
        <v>0.23699999999999999</v>
      </c>
      <c r="F7" s="57">
        <v>3</v>
      </c>
    </row>
    <row r="8" spans="1:27" x14ac:dyDescent="0.2">
      <c r="A8" s="70">
        <v>44620</v>
      </c>
      <c r="B8" s="57">
        <v>2381</v>
      </c>
      <c r="C8" s="57">
        <v>2381</v>
      </c>
      <c r="D8" s="57">
        <v>2</v>
      </c>
      <c r="E8" s="57">
        <v>0.11700000000000001</v>
      </c>
      <c r="F8" s="57">
        <v>3</v>
      </c>
    </row>
    <row r="9" spans="1:27" x14ac:dyDescent="0.2">
      <c r="A9" s="70">
        <v>44620</v>
      </c>
      <c r="B9" s="57">
        <v>2381</v>
      </c>
      <c r="C9" s="57">
        <v>2381</v>
      </c>
      <c r="D9" s="57">
        <v>2</v>
      </c>
      <c r="E9" s="57">
        <v>0.159</v>
      </c>
      <c r="F9" s="57">
        <v>3</v>
      </c>
    </row>
    <row r="10" spans="1:27" x14ac:dyDescent="0.2">
      <c r="A10" s="70">
        <v>44620</v>
      </c>
      <c r="B10" s="57">
        <v>2384</v>
      </c>
      <c r="C10" s="57">
        <v>2384</v>
      </c>
      <c r="D10" s="57">
        <v>4</v>
      </c>
      <c r="E10" s="57">
        <v>6.0999999999999999E-2</v>
      </c>
      <c r="F10" s="57">
        <v>3</v>
      </c>
    </row>
    <row r="11" spans="1:27" x14ac:dyDescent="0.2">
      <c r="A11" s="70">
        <v>44620</v>
      </c>
      <c r="B11" s="57">
        <v>2381.04</v>
      </c>
      <c r="C11" s="57">
        <v>2381</v>
      </c>
      <c r="D11" s="57">
        <v>4</v>
      </c>
      <c r="E11" s="57">
        <v>0.3</v>
      </c>
      <c r="F11" s="57">
        <v>3</v>
      </c>
    </row>
    <row r="12" spans="1:27" x14ac:dyDescent="0.2">
      <c r="A12" s="70">
        <v>44620</v>
      </c>
      <c r="B12" s="57">
        <v>2381.0300000000002</v>
      </c>
      <c r="C12" s="57">
        <v>2381</v>
      </c>
      <c r="D12" s="57">
        <v>3</v>
      </c>
      <c r="E12" s="57">
        <v>0.23200000000000001</v>
      </c>
      <c r="F12" s="57">
        <v>3</v>
      </c>
    </row>
    <row r="13" spans="1:27" x14ac:dyDescent="0.2">
      <c r="A13" s="70">
        <v>44620</v>
      </c>
      <c r="B13" s="57">
        <v>2384</v>
      </c>
      <c r="C13" s="57">
        <v>2384</v>
      </c>
      <c r="D13" s="57">
        <v>6</v>
      </c>
      <c r="E13" s="57">
        <v>0.107</v>
      </c>
      <c r="F13" s="57">
        <v>3</v>
      </c>
    </row>
    <row r="14" spans="1:27" x14ac:dyDescent="0.2">
      <c r="A14" s="70">
        <v>44620</v>
      </c>
      <c r="B14" s="57">
        <v>2381.02</v>
      </c>
      <c r="C14" s="57">
        <v>2381</v>
      </c>
      <c r="D14" s="57">
        <v>2</v>
      </c>
      <c r="E14" s="57">
        <v>0.72199999999999998</v>
      </c>
      <c r="F14" s="57">
        <v>3</v>
      </c>
    </row>
    <row r="15" spans="1:27" x14ac:dyDescent="0.2">
      <c r="A15" s="70">
        <v>44620</v>
      </c>
      <c r="B15" s="57">
        <v>2381</v>
      </c>
      <c r="C15" s="57">
        <v>2381</v>
      </c>
      <c r="D15" s="57">
        <v>4</v>
      </c>
      <c r="E15" s="57">
        <v>0.11899999999999999</v>
      </c>
      <c r="F15" s="57">
        <v>3</v>
      </c>
    </row>
    <row r="16" spans="1:27" x14ac:dyDescent="0.2">
      <c r="A16" s="70">
        <v>44620</v>
      </c>
      <c r="B16" s="57">
        <v>2384</v>
      </c>
      <c r="C16" s="57">
        <v>2384</v>
      </c>
      <c r="D16" s="57">
        <v>2</v>
      </c>
      <c r="E16" s="57">
        <v>9.7000000000000003E-2</v>
      </c>
      <c r="F16" s="57">
        <v>3</v>
      </c>
    </row>
    <row r="17" spans="1:6" x14ac:dyDescent="0.2">
      <c r="A17" s="70">
        <v>44620</v>
      </c>
      <c r="B17" s="57">
        <v>2381</v>
      </c>
      <c r="C17" s="57">
        <v>2381</v>
      </c>
      <c r="D17" s="57">
        <v>3</v>
      </c>
      <c r="E17" s="57">
        <v>0.12</v>
      </c>
      <c r="F17" s="57">
        <v>3</v>
      </c>
    </row>
    <row r="18" spans="1:6" x14ac:dyDescent="0.2">
      <c r="A18" s="70">
        <v>44620</v>
      </c>
      <c r="B18" s="57">
        <v>2381</v>
      </c>
      <c r="C18" s="57">
        <v>2381</v>
      </c>
      <c r="D18" s="57">
        <v>5</v>
      </c>
      <c r="E18" s="57">
        <v>0.36599999999999999</v>
      </c>
      <c r="F18" s="57">
        <v>3</v>
      </c>
    </row>
    <row r="19" spans="1:6" x14ac:dyDescent="0.2">
      <c r="A19" s="70">
        <v>44620</v>
      </c>
      <c r="B19" s="57">
        <v>2381</v>
      </c>
      <c r="C19" s="57">
        <v>2381</v>
      </c>
      <c r="D19" s="57">
        <v>3</v>
      </c>
      <c r="E19" s="57">
        <v>8.3000000000000004E-2</v>
      </c>
      <c r="F19" s="57">
        <v>3</v>
      </c>
    </row>
    <row r="20" spans="1:6" x14ac:dyDescent="0.2">
      <c r="A20" s="70">
        <v>44620</v>
      </c>
      <c r="B20" s="57">
        <v>2381.06</v>
      </c>
      <c r="C20" s="57">
        <v>2381</v>
      </c>
      <c r="D20" s="57">
        <v>6</v>
      </c>
      <c r="E20" s="57">
        <v>0.34599999999999997</v>
      </c>
      <c r="F20" s="57">
        <v>3</v>
      </c>
    </row>
    <row r="21" spans="1:6" x14ac:dyDescent="0.2">
      <c r="A21" s="70">
        <v>44620</v>
      </c>
      <c r="B21" s="57">
        <v>2381</v>
      </c>
      <c r="C21" s="57">
        <v>2381</v>
      </c>
      <c r="D21" s="57">
        <v>5</v>
      </c>
      <c r="E21" s="57">
        <v>0.13800000000000001</v>
      </c>
      <c r="F21" s="57">
        <v>3</v>
      </c>
    </row>
    <row r="22" spans="1:6" x14ac:dyDescent="0.2">
      <c r="A22" s="70">
        <v>44620</v>
      </c>
      <c r="B22" s="57">
        <v>2384</v>
      </c>
      <c r="C22" s="57">
        <v>2384</v>
      </c>
      <c r="D22" s="57">
        <v>1</v>
      </c>
      <c r="E22" s="57">
        <v>0.32</v>
      </c>
      <c r="F22" s="57">
        <v>3</v>
      </c>
    </row>
    <row r="23" spans="1:6" x14ac:dyDescent="0.2">
      <c r="A23" s="70">
        <v>44620</v>
      </c>
      <c r="B23" s="57">
        <v>2381</v>
      </c>
      <c r="C23" s="57">
        <v>2381</v>
      </c>
      <c r="D23" s="57">
        <v>1</v>
      </c>
      <c r="E23" s="57">
        <v>0.39900000000000002</v>
      </c>
      <c r="F23" s="57">
        <v>3</v>
      </c>
    </row>
    <row r="24" spans="1:6" x14ac:dyDescent="0.2">
      <c r="A24" s="70">
        <v>44620</v>
      </c>
      <c r="B24" s="57">
        <v>2384</v>
      </c>
      <c r="C24" s="57">
        <v>2384</v>
      </c>
      <c r="D24" s="57">
        <v>5</v>
      </c>
      <c r="E24" s="57">
        <v>8.8999999999999996E-2</v>
      </c>
      <c r="F24" s="57">
        <v>3</v>
      </c>
    </row>
    <row r="25" spans="1:6" x14ac:dyDescent="0.2">
      <c r="A25" s="70">
        <v>44620</v>
      </c>
      <c r="B25" s="57">
        <v>2381</v>
      </c>
      <c r="C25" s="57">
        <v>2381</v>
      </c>
      <c r="D25" s="57">
        <v>4</v>
      </c>
      <c r="E25" s="57">
        <v>0.14099999999999999</v>
      </c>
      <c r="F25" s="57">
        <v>3</v>
      </c>
    </row>
    <row r="26" spans="1:6" x14ac:dyDescent="0.2">
      <c r="A26" s="70">
        <v>44635</v>
      </c>
      <c r="B26" s="57">
        <v>2346</v>
      </c>
      <c r="C26" s="57">
        <v>2346</v>
      </c>
      <c r="D26" s="57">
        <v>3</v>
      </c>
      <c r="E26" s="57">
        <v>9.4999999999999998E-3</v>
      </c>
      <c r="F26" s="57">
        <v>3</v>
      </c>
    </row>
    <row r="27" spans="1:6" x14ac:dyDescent="0.2">
      <c r="A27" s="70">
        <v>44635</v>
      </c>
      <c r="B27" s="57">
        <v>2367</v>
      </c>
      <c r="C27" s="57">
        <v>2367</v>
      </c>
      <c r="D27" s="57">
        <v>2</v>
      </c>
      <c r="E27" s="57">
        <v>0.105</v>
      </c>
      <c r="F27" s="57">
        <v>3</v>
      </c>
    </row>
    <row r="28" spans="1:6" x14ac:dyDescent="0.2">
      <c r="A28" s="70">
        <v>44635</v>
      </c>
      <c r="B28" s="57">
        <v>2365</v>
      </c>
      <c r="C28" s="57">
        <v>2365</v>
      </c>
      <c r="D28" s="57">
        <v>6</v>
      </c>
      <c r="E28" s="57">
        <v>0.99299999999999999</v>
      </c>
      <c r="F28" s="57">
        <v>3</v>
      </c>
    </row>
    <row r="29" spans="1:6" x14ac:dyDescent="0.2">
      <c r="A29" s="70">
        <v>44635</v>
      </c>
      <c r="B29" s="57">
        <v>2365</v>
      </c>
      <c r="C29" s="57">
        <v>2365</v>
      </c>
      <c r="D29" s="57">
        <v>2</v>
      </c>
      <c r="E29" s="57">
        <v>0.67400000000000004</v>
      </c>
      <c r="F29" s="57">
        <v>3</v>
      </c>
    </row>
    <row r="30" spans="1:6" x14ac:dyDescent="0.2">
      <c r="A30" s="70">
        <v>44635</v>
      </c>
      <c r="B30" s="57">
        <v>2365</v>
      </c>
      <c r="C30" s="57">
        <v>2365</v>
      </c>
      <c r="D30" s="57">
        <v>1</v>
      </c>
      <c r="E30" s="57">
        <v>1.0640000000000001</v>
      </c>
      <c r="F30" s="57">
        <v>3</v>
      </c>
    </row>
    <row r="31" spans="1:6" x14ac:dyDescent="0.2">
      <c r="A31" s="70">
        <v>44635</v>
      </c>
      <c r="B31" s="57">
        <v>2365</v>
      </c>
      <c r="C31" s="57">
        <v>2365</v>
      </c>
      <c r="D31" s="57">
        <v>5</v>
      </c>
      <c r="E31" s="57">
        <v>0.98099999999999998</v>
      </c>
      <c r="F31" s="57">
        <v>3</v>
      </c>
    </row>
    <row r="32" spans="1:6" x14ac:dyDescent="0.2">
      <c r="A32" s="70">
        <v>44635</v>
      </c>
      <c r="B32" s="57">
        <v>2343</v>
      </c>
      <c r="C32" s="57">
        <v>2343</v>
      </c>
      <c r="D32" s="57">
        <v>5</v>
      </c>
      <c r="E32" s="57">
        <v>0.11799999999999999</v>
      </c>
      <c r="F32" s="57">
        <v>3</v>
      </c>
    </row>
    <row r="33" spans="1:6" x14ac:dyDescent="0.2">
      <c r="A33" s="70">
        <v>44635</v>
      </c>
      <c r="B33" s="57">
        <v>2346</v>
      </c>
      <c r="C33" s="57">
        <v>2346</v>
      </c>
      <c r="D33" s="57">
        <v>6</v>
      </c>
      <c r="E33" s="57">
        <v>8.3000000000000004E-2</v>
      </c>
      <c r="F33" s="57">
        <v>3</v>
      </c>
    </row>
    <row r="34" spans="1:6" x14ac:dyDescent="0.2">
      <c r="A34" s="70">
        <v>44635</v>
      </c>
      <c r="B34" s="57">
        <v>2347</v>
      </c>
      <c r="C34" s="57">
        <v>2347</v>
      </c>
      <c r="D34" s="57">
        <v>4</v>
      </c>
      <c r="E34" s="57">
        <v>3.9E-2</v>
      </c>
      <c r="F34" s="57">
        <v>3</v>
      </c>
    </row>
    <row r="35" spans="1:6" x14ac:dyDescent="0.2">
      <c r="A35" s="70">
        <v>44635</v>
      </c>
      <c r="B35" s="57">
        <v>2343</v>
      </c>
      <c r="C35" s="57">
        <v>2343</v>
      </c>
      <c r="D35" s="57">
        <v>6</v>
      </c>
      <c r="E35" s="57">
        <v>3.1E-2</v>
      </c>
      <c r="F35" s="57">
        <v>3</v>
      </c>
    </row>
    <row r="36" spans="1:6" x14ac:dyDescent="0.2">
      <c r="A36" s="70">
        <v>44635</v>
      </c>
      <c r="B36" s="57">
        <v>2346</v>
      </c>
      <c r="C36" s="57">
        <v>2346</v>
      </c>
      <c r="D36" s="57">
        <v>2</v>
      </c>
      <c r="E36" s="57">
        <v>0.186</v>
      </c>
      <c r="F36" s="57">
        <v>3</v>
      </c>
    </row>
    <row r="37" spans="1:6" x14ac:dyDescent="0.2">
      <c r="A37" s="70">
        <v>44635</v>
      </c>
      <c r="B37" s="57">
        <v>2343</v>
      </c>
      <c r="C37" s="57">
        <v>2343</v>
      </c>
      <c r="D37" s="57">
        <v>3</v>
      </c>
      <c r="E37" s="57">
        <v>9.0999999999999998E-2</v>
      </c>
      <c r="F37" s="57">
        <v>3</v>
      </c>
    </row>
    <row r="38" spans="1:6" x14ac:dyDescent="0.2">
      <c r="A38" s="70">
        <v>44635</v>
      </c>
      <c r="B38" s="57">
        <v>2343</v>
      </c>
      <c r="C38" s="57">
        <v>2343</v>
      </c>
      <c r="D38" s="57">
        <v>4</v>
      </c>
      <c r="E38" s="57">
        <v>0.20699999999999999</v>
      </c>
      <c r="F38" s="57">
        <v>3</v>
      </c>
    </row>
    <row r="39" spans="1:6" x14ac:dyDescent="0.2">
      <c r="A39" s="70">
        <v>44635</v>
      </c>
      <c r="B39" s="57">
        <v>2365</v>
      </c>
      <c r="C39" s="57">
        <v>2365</v>
      </c>
      <c r="D39" s="57">
        <v>4</v>
      </c>
      <c r="E39" s="57">
        <v>0.47499999999999998</v>
      </c>
      <c r="F39" s="57">
        <v>1</v>
      </c>
    </row>
    <row r="40" spans="1:6" x14ac:dyDescent="0.2">
      <c r="A40" s="70">
        <v>44635</v>
      </c>
      <c r="B40" s="57">
        <v>2347</v>
      </c>
      <c r="C40" s="57">
        <v>2347</v>
      </c>
      <c r="D40" s="57">
        <v>5</v>
      </c>
      <c r="E40" s="57">
        <v>2.8000000000000001E-2</v>
      </c>
      <c r="F40" s="57">
        <v>3</v>
      </c>
    </row>
    <row r="41" spans="1:6" x14ac:dyDescent="0.2">
      <c r="A41" s="70">
        <v>44635</v>
      </c>
      <c r="B41" s="57">
        <v>2365</v>
      </c>
      <c r="C41" s="57">
        <v>2365</v>
      </c>
      <c r="D41" s="57">
        <v>3</v>
      </c>
      <c r="E41" s="57">
        <v>0.57899999999999996</v>
      </c>
      <c r="F41" s="57">
        <v>3</v>
      </c>
    </row>
    <row r="42" spans="1:6" x14ac:dyDescent="0.2">
      <c r="A42" s="70">
        <v>44635</v>
      </c>
      <c r="B42" s="57">
        <v>2369</v>
      </c>
      <c r="C42" s="57">
        <v>2369</v>
      </c>
      <c r="D42" s="57">
        <v>6</v>
      </c>
      <c r="E42" s="57">
        <v>0.252</v>
      </c>
      <c r="F42" s="57">
        <v>3</v>
      </c>
    </row>
    <row r="43" spans="1:6" x14ac:dyDescent="0.2">
      <c r="A43" s="70">
        <v>44635</v>
      </c>
      <c r="B43" s="57">
        <v>2369</v>
      </c>
      <c r="C43" s="57">
        <v>2369</v>
      </c>
      <c r="D43" s="57">
        <v>3</v>
      </c>
      <c r="E43" s="57">
        <v>0.22900000000000001</v>
      </c>
      <c r="F43" s="57">
        <v>3</v>
      </c>
    </row>
    <row r="44" spans="1:6" x14ac:dyDescent="0.2">
      <c r="A44" s="70">
        <v>44635</v>
      </c>
      <c r="B44" s="57">
        <v>2346</v>
      </c>
      <c r="C44" s="57">
        <v>2346</v>
      </c>
      <c r="D44" s="57">
        <v>4</v>
      </c>
      <c r="E44" s="57">
        <v>3.5999999999999997E-2</v>
      </c>
      <c r="F44" s="57">
        <v>3</v>
      </c>
    </row>
    <row r="45" spans="1:6" x14ac:dyDescent="0.2">
      <c r="A45" s="70">
        <v>44635</v>
      </c>
      <c r="B45" s="57">
        <v>2343</v>
      </c>
      <c r="C45" s="57">
        <v>2343</v>
      </c>
      <c r="D45" s="57">
        <v>2</v>
      </c>
      <c r="E45" s="57">
        <v>5.2999999999999999E-2</v>
      </c>
      <c r="F45" s="57">
        <v>3</v>
      </c>
    </row>
    <row r="46" spans="1:6" x14ac:dyDescent="0.2">
      <c r="A46" s="70">
        <v>44635</v>
      </c>
      <c r="B46" s="57">
        <v>2369</v>
      </c>
      <c r="C46" s="57">
        <v>2369</v>
      </c>
      <c r="D46" s="57">
        <v>2</v>
      </c>
      <c r="E46" s="57">
        <v>0.35199999999999998</v>
      </c>
      <c r="F46" s="57">
        <v>3</v>
      </c>
    </row>
    <row r="47" spans="1:6" x14ac:dyDescent="0.2">
      <c r="A47" s="70">
        <v>44635</v>
      </c>
      <c r="B47" s="57">
        <v>2367</v>
      </c>
      <c r="C47" s="57">
        <v>2367</v>
      </c>
      <c r="D47" s="57">
        <v>6</v>
      </c>
      <c r="E47" s="57">
        <v>1.2E-2</v>
      </c>
      <c r="F47" s="57">
        <v>3</v>
      </c>
    </row>
    <row r="48" spans="1:6" x14ac:dyDescent="0.2">
      <c r="A48" s="70">
        <v>44635</v>
      </c>
      <c r="B48" s="57">
        <v>2347</v>
      </c>
      <c r="C48" s="57">
        <v>2347</v>
      </c>
      <c r="D48" s="57">
        <v>2</v>
      </c>
      <c r="E48" s="57">
        <v>2.1999999999999999E-2</v>
      </c>
      <c r="F48" s="57">
        <v>3</v>
      </c>
    </row>
    <row r="49" spans="1:6" x14ac:dyDescent="0.2">
      <c r="A49" s="70">
        <v>44635</v>
      </c>
      <c r="B49" s="57">
        <v>2343</v>
      </c>
      <c r="C49" s="57">
        <v>2343</v>
      </c>
      <c r="D49" s="57">
        <v>1</v>
      </c>
      <c r="E49" s="57">
        <v>0.28100000000000003</v>
      </c>
      <c r="F49" s="57">
        <v>3</v>
      </c>
    </row>
    <row r="50" spans="1:6" x14ac:dyDescent="0.2">
      <c r="A50" s="70">
        <v>44635</v>
      </c>
      <c r="B50" s="57">
        <v>2369</v>
      </c>
      <c r="C50" s="57">
        <v>2369</v>
      </c>
      <c r="D50" s="57">
        <v>5</v>
      </c>
      <c r="E50" s="57">
        <v>0.53600000000000003</v>
      </c>
      <c r="F50" s="57">
        <v>3</v>
      </c>
    </row>
    <row r="51" spans="1:6" x14ac:dyDescent="0.2">
      <c r="A51" s="70">
        <v>44635</v>
      </c>
      <c r="B51" s="57">
        <v>2347</v>
      </c>
      <c r="C51" s="57">
        <v>2347</v>
      </c>
      <c r="D51" s="57">
        <v>3</v>
      </c>
      <c r="E51" s="57">
        <v>3.4000000000000002E-2</v>
      </c>
      <c r="F51" s="57">
        <v>3</v>
      </c>
    </row>
    <row r="52" spans="1:6" x14ac:dyDescent="0.2">
      <c r="A52" s="70">
        <v>44635</v>
      </c>
      <c r="B52" s="57">
        <v>2347</v>
      </c>
      <c r="C52" s="57">
        <v>2347</v>
      </c>
      <c r="D52" s="57">
        <v>1</v>
      </c>
      <c r="E52" s="57">
        <v>3.5000000000000003E-2</v>
      </c>
      <c r="F52" s="57">
        <v>3</v>
      </c>
    </row>
    <row r="53" spans="1:6" x14ac:dyDescent="0.2">
      <c r="A53" s="70">
        <v>44635</v>
      </c>
      <c r="B53" s="57">
        <v>2367</v>
      </c>
      <c r="C53" s="57">
        <v>2367</v>
      </c>
      <c r="D53" s="57">
        <v>5</v>
      </c>
      <c r="E53" s="57">
        <v>1.0999999999999999E-2</v>
      </c>
      <c r="F53" s="57">
        <v>3</v>
      </c>
    </row>
    <row r="54" spans="1:6" x14ac:dyDescent="0.2">
      <c r="A54" s="70">
        <v>44635</v>
      </c>
      <c r="B54" s="57">
        <v>2369</v>
      </c>
      <c r="C54" s="57">
        <v>2369</v>
      </c>
      <c r="D54" s="57">
        <v>4</v>
      </c>
      <c r="E54" s="57">
        <v>0.13600000000000001</v>
      </c>
      <c r="F54" s="57">
        <v>3</v>
      </c>
    </row>
    <row r="55" spans="1:6" x14ac:dyDescent="0.2">
      <c r="A55" s="70">
        <v>44635</v>
      </c>
      <c r="B55" s="57">
        <v>2367</v>
      </c>
      <c r="C55" s="57">
        <v>2367</v>
      </c>
      <c r="D55" s="57">
        <v>3</v>
      </c>
      <c r="E55" s="57">
        <v>9.4E-2</v>
      </c>
      <c r="F55" s="57">
        <v>3</v>
      </c>
    </row>
    <row r="56" spans="1:6" x14ac:dyDescent="0.2">
      <c r="A56" s="70">
        <v>44635</v>
      </c>
      <c r="B56" s="57">
        <v>2346</v>
      </c>
      <c r="C56" s="57">
        <v>2346</v>
      </c>
      <c r="D56" s="57">
        <v>1</v>
      </c>
      <c r="E56" s="57">
        <v>0.183</v>
      </c>
      <c r="F56" s="57">
        <v>3</v>
      </c>
    </row>
    <row r="57" spans="1:6" x14ac:dyDescent="0.2">
      <c r="A57" s="70">
        <v>44635</v>
      </c>
      <c r="B57" s="57">
        <v>2367</v>
      </c>
      <c r="C57" s="57">
        <v>2367</v>
      </c>
      <c r="D57" s="57">
        <v>1</v>
      </c>
      <c r="E57" s="57">
        <v>1.7999999999999999E-2</v>
      </c>
      <c r="F57" s="57">
        <v>3</v>
      </c>
    </row>
    <row r="58" spans="1:6" x14ac:dyDescent="0.2">
      <c r="A58" s="70">
        <v>44635</v>
      </c>
      <c r="B58" s="57">
        <v>2346</v>
      </c>
      <c r="C58" s="57">
        <v>2346</v>
      </c>
      <c r="D58" s="57">
        <v>5</v>
      </c>
      <c r="E58" s="57">
        <v>0.02</v>
      </c>
      <c r="F58" s="57">
        <v>3</v>
      </c>
    </row>
    <row r="59" spans="1:6" x14ac:dyDescent="0.2">
      <c r="A59" s="70">
        <v>44635</v>
      </c>
      <c r="B59" s="57">
        <v>2367</v>
      </c>
      <c r="C59" s="57">
        <v>2367</v>
      </c>
      <c r="D59" s="57">
        <v>4</v>
      </c>
      <c r="E59" s="57">
        <v>1.9E-2</v>
      </c>
      <c r="F59" s="57">
        <v>3</v>
      </c>
    </row>
    <row r="60" spans="1:6" x14ac:dyDescent="0.2">
      <c r="A60" s="70">
        <v>44635</v>
      </c>
      <c r="B60" s="57">
        <v>2369</v>
      </c>
      <c r="C60" s="57">
        <v>2369</v>
      </c>
      <c r="D60" s="57">
        <v>1</v>
      </c>
      <c r="E60" s="57">
        <v>0.27200000000000002</v>
      </c>
      <c r="F60" s="57">
        <v>3</v>
      </c>
    </row>
    <row r="61" spans="1:6" x14ac:dyDescent="0.2">
      <c r="A61" s="70">
        <v>44647</v>
      </c>
      <c r="B61" s="57">
        <v>2343.6</v>
      </c>
      <c r="C61" s="57">
        <v>2343</v>
      </c>
      <c r="D61" s="57">
        <v>6</v>
      </c>
      <c r="E61" s="57">
        <v>0.51500000000000001</v>
      </c>
      <c r="F61" s="57">
        <v>3</v>
      </c>
    </row>
    <row r="62" spans="1:6" x14ac:dyDescent="0.2">
      <c r="A62" s="70">
        <v>44647</v>
      </c>
      <c r="B62" s="57">
        <v>2365.6999999999998</v>
      </c>
      <c r="C62" s="57">
        <v>2365</v>
      </c>
      <c r="D62" s="57">
        <v>7</v>
      </c>
      <c r="E62" s="57">
        <v>0.48099999999999998</v>
      </c>
    </row>
    <row r="63" spans="1:6" x14ac:dyDescent="0.2">
      <c r="A63" s="70">
        <v>44647</v>
      </c>
      <c r="B63" s="57">
        <v>2347.1</v>
      </c>
      <c r="C63" s="57">
        <v>2347</v>
      </c>
      <c r="D63" s="57">
        <v>1</v>
      </c>
      <c r="E63" s="57">
        <v>0.11799999999999999</v>
      </c>
    </row>
    <row r="64" spans="1:6" x14ac:dyDescent="0.2">
      <c r="A64" s="70">
        <v>44647</v>
      </c>
      <c r="B64" s="57">
        <v>2343.3000000000002</v>
      </c>
      <c r="C64" s="57">
        <v>2343</v>
      </c>
      <c r="D64" s="57">
        <v>3</v>
      </c>
      <c r="E64" s="57">
        <v>0.72899999999999998</v>
      </c>
    </row>
    <row r="65" spans="1:5" x14ac:dyDescent="0.2">
      <c r="A65" s="70">
        <v>44647</v>
      </c>
      <c r="B65" s="57">
        <v>2347.1999999999998</v>
      </c>
      <c r="C65" s="57">
        <v>2347</v>
      </c>
      <c r="D65" s="57">
        <v>2</v>
      </c>
      <c r="E65" s="57">
        <v>0.29699999999999999</v>
      </c>
    </row>
    <row r="66" spans="1:5" x14ac:dyDescent="0.2">
      <c r="A66" s="70">
        <v>44647</v>
      </c>
      <c r="B66" s="57">
        <v>2367.5</v>
      </c>
      <c r="C66" s="57">
        <v>2367</v>
      </c>
      <c r="D66" s="57">
        <v>5</v>
      </c>
      <c r="E66" s="57">
        <v>0.14000000000000001</v>
      </c>
    </row>
    <row r="67" spans="1:5" x14ac:dyDescent="0.2">
      <c r="A67" s="70">
        <v>44647</v>
      </c>
      <c r="B67" s="57">
        <v>2365.1</v>
      </c>
      <c r="C67" s="57">
        <v>2365</v>
      </c>
      <c r="D67" s="57">
        <v>1</v>
      </c>
      <c r="E67" s="57">
        <v>1.026</v>
      </c>
    </row>
    <row r="68" spans="1:5" x14ac:dyDescent="0.2">
      <c r="A68" s="70">
        <v>44647</v>
      </c>
      <c r="B68" s="57">
        <v>2369.1</v>
      </c>
      <c r="C68" s="57">
        <v>2369</v>
      </c>
      <c r="D68" s="57">
        <v>1</v>
      </c>
      <c r="E68" s="57">
        <v>1.155</v>
      </c>
    </row>
    <row r="69" spans="1:5" x14ac:dyDescent="0.2">
      <c r="A69" s="70">
        <v>44647</v>
      </c>
      <c r="B69" s="57">
        <v>2346.3000000000002</v>
      </c>
      <c r="C69" s="57">
        <v>2346</v>
      </c>
      <c r="D69" s="57">
        <v>3</v>
      </c>
      <c r="E69" s="57">
        <v>0.70399999999999996</v>
      </c>
    </row>
    <row r="70" spans="1:5" x14ac:dyDescent="0.2">
      <c r="A70" s="70">
        <v>44647</v>
      </c>
      <c r="B70" s="57">
        <v>2343.5</v>
      </c>
      <c r="C70" s="57">
        <v>2343</v>
      </c>
      <c r="D70" s="57">
        <v>5</v>
      </c>
      <c r="E70" s="57">
        <v>0.378</v>
      </c>
    </row>
    <row r="71" spans="1:5" x14ac:dyDescent="0.2">
      <c r="A71" s="70">
        <v>44647</v>
      </c>
      <c r="B71" s="57">
        <v>2365.3000000000002</v>
      </c>
      <c r="C71" s="57">
        <v>2365</v>
      </c>
      <c r="D71" s="57">
        <v>3</v>
      </c>
      <c r="E71" s="57">
        <v>0.39100000000000001</v>
      </c>
    </row>
    <row r="72" spans="1:5" x14ac:dyDescent="0.2">
      <c r="A72" s="70">
        <v>44647</v>
      </c>
      <c r="B72" s="57">
        <v>2346.4</v>
      </c>
      <c r="C72" s="57">
        <v>2346</v>
      </c>
      <c r="D72" s="57">
        <v>4</v>
      </c>
      <c r="E72" s="57">
        <v>0.16700000000000001</v>
      </c>
    </row>
    <row r="73" spans="1:5" x14ac:dyDescent="0.2">
      <c r="A73" s="70">
        <v>44647</v>
      </c>
      <c r="B73" s="57">
        <v>2369.1999999999998</v>
      </c>
      <c r="C73" s="57">
        <v>2369</v>
      </c>
      <c r="D73" s="57">
        <v>2</v>
      </c>
      <c r="E73" s="57">
        <v>1.3140000000000001</v>
      </c>
    </row>
    <row r="74" spans="1:5" x14ac:dyDescent="0.2">
      <c r="A74" s="70">
        <v>44647</v>
      </c>
      <c r="B74" s="57">
        <v>2347.5</v>
      </c>
      <c r="C74" s="57">
        <v>2347</v>
      </c>
      <c r="D74" s="57">
        <v>5</v>
      </c>
      <c r="E74" s="57">
        <v>0.32300000000000001</v>
      </c>
    </row>
    <row r="75" spans="1:5" x14ac:dyDescent="0.2">
      <c r="A75" s="70">
        <v>44647</v>
      </c>
      <c r="B75" s="57">
        <v>2367.6999999999998</v>
      </c>
      <c r="C75" s="57">
        <v>2367</v>
      </c>
      <c r="D75" s="57">
        <v>7</v>
      </c>
      <c r="E75" s="57">
        <v>0.374</v>
      </c>
    </row>
    <row r="76" spans="1:5" x14ac:dyDescent="0.2">
      <c r="A76" s="70">
        <v>44647</v>
      </c>
      <c r="B76" s="57">
        <v>2369.8000000000002</v>
      </c>
      <c r="C76" s="57">
        <v>2369</v>
      </c>
      <c r="D76" s="57">
        <v>8</v>
      </c>
      <c r="E76" s="57">
        <v>0.22</v>
      </c>
    </row>
    <row r="77" spans="1:5" x14ac:dyDescent="0.2">
      <c r="A77" s="70">
        <v>44647</v>
      </c>
      <c r="B77" s="57">
        <v>2369.6</v>
      </c>
      <c r="C77" s="57">
        <v>2369</v>
      </c>
      <c r="D77" s="57">
        <v>6</v>
      </c>
      <c r="E77" s="57">
        <v>0.77800000000000002</v>
      </c>
    </row>
    <row r="78" spans="1:5" x14ac:dyDescent="0.2">
      <c r="A78" s="70">
        <v>44647</v>
      </c>
      <c r="B78" s="57">
        <v>2369.6999999999998</v>
      </c>
      <c r="C78" s="57">
        <v>2369</v>
      </c>
      <c r="D78" s="57">
        <v>7</v>
      </c>
      <c r="E78" s="57">
        <v>0.48099999999999998</v>
      </c>
    </row>
    <row r="79" spans="1:5" x14ac:dyDescent="0.2">
      <c r="A79" s="70">
        <v>44647</v>
      </c>
      <c r="B79" s="57">
        <v>2346.1</v>
      </c>
      <c r="C79" s="57">
        <v>2346</v>
      </c>
      <c r="D79" s="57">
        <v>1</v>
      </c>
      <c r="E79" s="57">
        <v>0.51</v>
      </c>
    </row>
    <row r="80" spans="1:5" x14ac:dyDescent="0.2">
      <c r="A80" s="70">
        <v>44647</v>
      </c>
      <c r="B80" s="57">
        <v>2367.6</v>
      </c>
      <c r="C80" s="57">
        <v>2367</v>
      </c>
      <c r="D80" s="57">
        <v>6</v>
      </c>
      <c r="E80" s="57">
        <v>0.11799999999999999</v>
      </c>
    </row>
    <row r="81" spans="1:5" x14ac:dyDescent="0.2">
      <c r="A81" s="70">
        <v>44647</v>
      </c>
      <c r="B81" s="57">
        <v>2369.1</v>
      </c>
      <c r="C81" s="57">
        <v>2369</v>
      </c>
      <c r="D81" s="57">
        <v>1</v>
      </c>
      <c r="E81" s="57">
        <v>5.2999999999999999E-2</v>
      </c>
    </row>
    <row r="82" spans="1:5" x14ac:dyDescent="0.2">
      <c r="A82" s="70">
        <v>44647</v>
      </c>
      <c r="B82" s="57">
        <v>2347.4</v>
      </c>
      <c r="C82" s="57">
        <v>2347</v>
      </c>
      <c r="D82" s="57">
        <v>4</v>
      </c>
      <c r="E82" s="57">
        <v>0.127</v>
      </c>
    </row>
    <row r="83" spans="1:5" x14ac:dyDescent="0.2">
      <c r="A83" s="70">
        <v>44647</v>
      </c>
      <c r="B83" s="57">
        <v>2343.1999999999998</v>
      </c>
      <c r="C83" s="57">
        <v>2343</v>
      </c>
      <c r="D83" s="57">
        <v>2</v>
      </c>
      <c r="E83" s="57">
        <v>0.82299999999999995</v>
      </c>
    </row>
    <row r="84" spans="1:5" x14ac:dyDescent="0.2">
      <c r="A84" s="70">
        <v>44647</v>
      </c>
      <c r="B84" s="57">
        <v>2369.5</v>
      </c>
      <c r="C84" s="57">
        <v>2369</v>
      </c>
      <c r="D84" s="57">
        <v>5</v>
      </c>
      <c r="E84" s="57">
        <v>0.38900000000000001</v>
      </c>
    </row>
    <row r="85" spans="1:5" x14ac:dyDescent="0.2">
      <c r="A85" s="70">
        <v>44647</v>
      </c>
      <c r="B85" s="57">
        <v>2369.9</v>
      </c>
      <c r="C85" s="57">
        <v>2369</v>
      </c>
      <c r="D85" s="57">
        <v>9</v>
      </c>
      <c r="E85" s="57">
        <v>0.64</v>
      </c>
    </row>
    <row r="86" spans="1:5" x14ac:dyDescent="0.2">
      <c r="A86" s="70">
        <v>44647</v>
      </c>
      <c r="B86" s="57">
        <v>2365.6</v>
      </c>
      <c r="C86" s="57">
        <v>2365</v>
      </c>
      <c r="D86" s="57">
        <v>6</v>
      </c>
      <c r="E86" s="57">
        <v>0.38700000000000001</v>
      </c>
    </row>
    <row r="87" spans="1:5" x14ac:dyDescent="0.2">
      <c r="A87" s="70">
        <v>44647</v>
      </c>
      <c r="B87" s="57">
        <v>2369.5</v>
      </c>
      <c r="C87" s="57">
        <v>2369</v>
      </c>
      <c r="D87" s="57">
        <v>5</v>
      </c>
      <c r="E87" s="57">
        <v>0.67100000000000004</v>
      </c>
    </row>
    <row r="88" spans="1:5" x14ac:dyDescent="0.2">
      <c r="A88" s="70">
        <v>44647</v>
      </c>
      <c r="B88" s="57">
        <v>2365.5</v>
      </c>
      <c r="C88" s="57">
        <v>2365</v>
      </c>
      <c r="D88" s="57">
        <v>5</v>
      </c>
      <c r="E88" s="57">
        <v>0.376</v>
      </c>
    </row>
    <row r="89" spans="1:5" x14ac:dyDescent="0.2">
      <c r="A89" s="70">
        <v>44647</v>
      </c>
      <c r="B89" s="57">
        <v>2346.1999999999998</v>
      </c>
      <c r="C89" s="57">
        <v>2346</v>
      </c>
      <c r="D89" s="57">
        <v>2</v>
      </c>
      <c r="E89" s="57">
        <v>1.7649999999999999</v>
      </c>
    </row>
    <row r="90" spans="1:5" x14ac:dyDescent="0.2">
      <c r="A90" s="70">
        <v>44647</v>
      </c>
      <c r="B90" s="57">
        <v>2343.4</v>
      </c>
      <c r="C90" s="57">
        <v>2343</v>
      </c>
      <c r="D90" s="57">
        <v>4</v>
      </c>
      <c r="E90" s="57">
        <v>0.40600000000000003</v>
      </c>
    </row>
    <row r="91" spans="1:5" x14ac:dyDescent="0.2">
      <c r="A91" s="70">
        <v>44647</v>
      </c>
      <c r="B91" s="57">
        <v>2367.4</v>
      </c>
      <c r="C91" s="57">
        <v>2367</v>
      </c>
      <c r="D91" s="57">
        <v>4</v>
      </c>
      <c r="E91" s="57">
        <v>0.152</v>
      </c>
    </row>
    <row r="92" spans="1:5" x14ac:dyDescent="0.2">
      <c r="A92" s="70">
        <v>44647</v>
      </c>
      <c r="B92" s="57">
        <v>2346.6999999999998</v>
      </c>
      <c r="C92" s="57">
        <v>2346</v>
      </c>
      <c r="D92" s="57">
        <v>7</v>
      </c>
      <c r="E92" s="57">
        <v>0.29399999999999998</v>
      </c>
    </row>
    <row r="93" spans="1:5" x14ac:dyDescent="0.2">
      <c r="A93" s="70">
        <v>44647</v>
      </c>
      <c r="B93" s="57">
        <v>2369.3000000000002</v>
      </c>
      <c r="C93" s="57">
        <v>2369</v>
      </c>
      <c r="D93" s="57">
        <v>3</v>
      </c>
      <c r="E93" s="57">
        <v>0.216</v>
      </c>
    </row>
    <row r="94" spans="1:5" x14ac:dyDescent="0.2">
      <c r="A94" s="70">
        <v>44647</v>
      </c>
      <c r="B94" s="57">
        <v>2367.3000000000002</v>
      </c>
      <c r="C94" s="57">
        <v>2367</v>
      </c>
      <c r="D94" s="57">
        <v>3</v>
      </c>
      <c r="E94" s="57">
        <v>0.63300000000000001</v>
      </c>
    </row>
    <row r="95" spans="1:5" x14ac:dyDescent="0.2">
      <c r="A95" s="70">
        <v>44647</v>
      </c>
      <c r="B95" s="57">
        <v>2347.6</v>
      </c>
      <c r="C95" s="57">
        <v>2347</v>
      </c>
      <c r="D95" s="57">
        <v>6</v>
      </c>
      <c r="E95" s="57">
        <v>0.25900000000000001</v>
      </c>
    </row>
    <row r="96" spans="1:5" x14ac:dyDescent="0.2">
      <c r="A96" s="70">
        <v>44647</v>
      </c>
      <c r="B96" s="57">
        <v>2343.1</v>
      </c>
      <c r="C96" s="57">
        <v>2343</v>
      </c>
      <c r="D96" s="57">
        <v>1</v>
      </c>
      <c r="E96" s="57">
        <v>0.74099999999999999</v>
      </c>
    </row>
    <row r="97" spans="1:5" x14ac:dyDescent="0.2">
      <c r="A97" s="70">
        <v>44647</v>
      </c>
      <c r="B97" s="57">
        <v>2346.5</v>
      </c>
      <c r="C97" s="57">
        <v>2346</v>
      </c>
      <c r="D97" s="57">
        <v>5</v>
      </c>
      <c r="E97" s="57">
        <v>0.24299999999999999</v>
      </c>
    </row>
    <row r="98" spans="1:5" x14ac:dyDescent="0.2">
      <c r="A98" s="70">
        <v>44647</v>
      </c>
      <c r="B98" s="57">
        <v>2365.1999999999998</v>
      </c>
      <c r="C98" s="57">
        <v>2365</v>
      </c>
      <c r="D98" s="57">
        <v>2</v>
      </c>
      <c r="E98" s="57">
        <v>0.54800000000000004</v>
      </c>
    </row>
    <row r="99" spans="1:5" x14ac:dyDescent="0.2">
      <c r="A99" s="70">
        <v>44647</v>
      </c>
      <c r="B99" s="57">
        <v>2369.6</v>
      </c>
      <c r="C99" s="57">
        <v>2369</v>
      </c>
      <c r="D99" s="57">
        <v>6</v>
      </c>
      <c r="E99" s="57">
        <v>0.223</v>
      </c>
    </row>
    <row r="100" spans="1:5" x14ac:dyDescent="0.2">
      <c r="A100" s="70">
        <v>44647</v>
      </c>
      <c r="B100" s="57">
        <v>2365.8000000000002</v>
      </c>
      <c r="C100" s="57">
        <v>2365</v>
      </c>
      <c r="D100" s="57">
        <v>8</v>
      </c>
      <c r="E100" s="57">
        <v>0.29099999999999998</v>
      </c>
    </row>
    <row r="101" spans="1:5" x14ac:dyDescent="0.2">
      <c r="A101" s="70">
        <v>44647</v>
      </c>
      <c r="B101" s="57">
        <v>2369.4</v>
      </c>
      <c r="C101" s="57">
        <v>2369</v>
      </c>
      <c r="D101" s="57">
        <v>4</v>
      </c>
      <c r="E101" s="57">
        <v>0.57799999999999996</v>
      </c>
    </row>
    <row r="102" spans="1:5" x14ac:dyDescent="0.2">
      <c r="A102" s="70">
        <v>44647</v>
      </c>
      <c r="B102" s="57">
        <v>2347.3000000000002</v>
      </c>
      <c r="C102" s="57">
        <v>2347</v>
      </c>
      <c r="D102" s="57">
        <v>3</v>
      </c>
      <c r="E102" s="57">
        <v>0.127</v>
      </c>
    </row>
    <row r="103" spans="1:5" x14ac:dyDescent="0.2">
      <c r="A103" s="70">
        <v>44647</v>
      </c>
      <c r="B103" s="57">
        <v>2365.4</v>
      </c>
      <c r="C103" s="57">
        <v>2365</v>
      </c>
      <c r="D103" s="57">
        <v>4</v>
      </c>
      <c r="E103" s="57">
        <v>0.371</v>
      </c>
    </row>
    <row r="104" spans="1:5" x14ac:dyDescent="0.2">
      <c r="A104" s="70">
        <v>44647</v>
      </c>
      <c r="B104" s="57">
        <v>2346.6</v>
      </c>
      <c r="C104" s="57">
        <v>2346</v>
      </c>
      <c r="D104" s="57">
        <v>6</v>
      </c>
      <c r="E104" s="57">
        <v>0.68899999999999995</v>
      </c>
    </row>
    <row r="105" spans="1:5" x14ac:dyDescent="0.2">
      <c r="A105" s="70">
        <v>44647</v>
      </c>
      <c r="B105" s="57">
        <v>2365.9</v>
      </c>
      <c r="C105" s="57">
        <v>2365</v>
      </c>
      <c r="D105" s="57">
        <v>9</v>
      </c>
      <c r="E105" s="57">
        <v>0.317</v>
      </c>
    </row>
    <row r="106" spans="1:5" x14ac:dyDescent="0.2">
      <c r="A106" s="70">
        <v>44663</v>
      </c>
      <c r="B106" s="57">
        <v>2369.3000000000002</v>
      </c>
      <c r="C106" s="57">
        <v>2369</v>
      </c>
      <c r="D106" s="57">
        <v>3</v>
      </c>
      <c r="E106" s="57">
        <v>0.46</v>
      </c>
    </row>
    <row r="107" spans="1:5" x14ac:dyDescent="0.2">
      <c r="A107" s="70">
        <v>44663</v>
      </c>
      <c r="B107" s="57">
        <v>2369.4</v>
      </c>
      <c r="C107" s="57">
        <v>2369</v>
      </c>
      <c r="D107" s="57">
        <v>4</v>
      </c>
      <c r="E107" s="57">
        <v>0.68700000000000006</v>
      </c>
    </row>
    <row r="108" spans="1:5" x14ac:dyDescent="0.2">
      <c r="A108" s="70">
        <v>44663</v>
      </c>
      <c r="B108" s="57">
        <v>2347.5</v>
      </c>
      <c r="C108" s="57">
        <v>2347</v>
      </c>
      <c r="D108" s="57">
        <v>5</v>
      </c>
      <c r="E108" s="57">
        <v>0.2</v>
      </c>
    </row>
    <row r="109" spans="1:5" x14ac:dyDescent="0.2">
      <c r="A109" s="70">
        <v>44663</v>
      </c>
      <c r="B109" s="57">
        <v>2343.3000000000002</v>
      </c>
      <c r="C109" s="57">
        <v>2343</v>
      </c>
      <c r="D109" s="57">
        <v>3</v>
      </c>
      <c r="E109" s="57">
        <v>0.76</v>
      </c>
    </row>
    <row r="110" spans="1:5" x14ac:dyDescent="0.2">
      <c r="A110" s="70">
        <v>44663</v>
      </c>
      <c r="B110" s="57">
        <v>2343.4</v>
      </c>
      <c r="C110" s="57">
        <v>2343</v>
      </c>
      <c r="D110" s="57">
        <v>4</v>
      </c>
      <c r="E110" s="57">
        <v>0.628</v>
      </c>
    </row>
    <row r="111" spans="1:5" x14ac:dyDescent="0.2">
      <c r="A111" s="70">
        <v>44663</v>
      </c>
      <c r="B111" s="57">
        <v>2343.6</v>
      </c>
      <c r="C111" s="57">
        <v>2343</v>
      </c>
      <c r="D111" s="57">
        <v>6</v>
      </c>
      <c r="E111" s="57">
        <v>0.23200000000000001</v>
      </c>
    </row>
    <row r="112" spans="1:5" x14ac:dyDescent="0.2">
      <c r="A112" s="70">
        <v>44663</v>
      </c>
      <c r="B112" s="57">
        <v>2369.1999999999998</v>
      </c>
      <c r="C112" s="57">
        <v>2369</v>
      </c>
      <c r="D112" s="57">
        <v>2</v>
      </c>
      <c r="E112" s="57">
        <v>0.873</v>
      </c>
    </row>
    <row r="113" spans="1:5" x14ac:dyDescent="0.2">
      <c r="A113" s="70">
        <v>44663</v>
      </c>
      <c r="B113" s="57">
        <v>2347.1</v>
      </c>
      <c r="C113" s="57">
        <v>2347</v>
      </c>
      <c r="D113" s="57">
        <v>1</v>
      </c>
      <c r="E113" s="57">
        <v>0.30599999999999999</v>
      </c>
    </row>
    <row r="114" spans="1:5" x14ac:dyDescent="0.2">
      <c r="A114" s="70">
        <v>44663</v>
      </c>
      <c r="B114" s="57">
        <v>2343.5</v>
      </c>
      <c r="C114" s="57">
        <v>2343</v>
      </c>
      <c r="D114" s="57">
        <v>5</v>
      </c>
      <c r="E114" s="57">
        <v>0.52400000000000002</v>
      </c>
    </row>
    <row r="115" spans="1:5" x14ac:dyDescent="0.2">
      <c r="A115" s="70">
        <v>44663</v>
      </c>
      <c r="B115" s="57">
        <v>2367.4</v>
      </c>
      <c r="C115" s="57">
        <v>2367</v>
      </c>
      <c r="D115" s="57">
        <v>4</v>
      </c>
      <c r="E115" s="57">
        <v>0.217</v>
      </c>
    </row>
    <row r="116" spans="1:5" x14ac:dyDescent="0.2">
      <c r="A116" s="70">
        <v>44663</v>
      </c>
      <c r="B116" s="57">
        <v>2365.3000000000002</v>
      </c>
      <c r="C116" s="57">
        <v>2365</v>
      </c>
      <c r="D116" s="57">
        <v>3</v>
      </c>
      <c r="E116" s="57">
        <v>0.123</v>
      </c>
    </row>
    <row r="117" spans="1:5" x14ac:dyDescent="0.2">
      <c r="A117" s="70">
        <v>44663</v>
      </c>
      <c r="B117" s="57">
        <v>2365.5</v>
      </c>
      <c r="C117" s="57">
        <v>2365</v>
      </c>
      <c r="D117" s="57">
        <v>5</v>
      </c>
      <c r="E117" s="57">
        <v>0.253</v>
      </c>
    </row>
    <row r="118" spans="1:5" x14ac:dyDescent="0.2">
      <c r="A118" s="70">
        <v>44663</v>
      </c>
      <c r="B118" s="57">
        <v>2347.3000000000002</v>
      </c>
      <c r="C118" s="57">
        <v>2347</v>
      </c>
      <c r="D118" s="57">
        <v>3</v>
      </c>
      <c r="E118" s="57">
        <v>0.17799999999999999</v>
      </c>
    </row>
    <row r="119" spans="1:5" x14ac:dyDescent="0.2">
      <c r="A119" s="70">
        <v>44663</v>
      </c>
      <c r="B119" s="57">
        <v>2365.6</v>
      </c>
      <c r="C119" s="57">
        <v>2365</v>
      </c>
      <c r="D119" s="57">
        <v>6</v>
      </c>
      <c r="E119" s="57">
        <v>0.35299999999999998</v>
      </c>
    </row>
    <row r="120" spans="1:5" x14ac:dyDescent="0.2">
      <c r="A120" s="70">
        <v>44663</v>
      </c>
      <c r="B120" s="57">
        <v>2346.5</v>
      </c>
      <c r="C120" s="57">
        <v>2346</v>
      </c>
      <c r="D120" s="57">
        <v>5</v>
      </c>
      <c r="E120" s="57">
        <v>0.253</v>
      </c>
    </row>
    <row r="121" spans="1:5" x14ac:dyDescent="0.2">
      <c r="A121" s="70">
        <v>44663</v>
      </c>
      <c r="B121" s="57">
        <v>2346.4</v>
      </c>
      <c r="C121" s="57">
        <v>2346</v>
      </c>
      <c r="D121" s="57">
        <v>4</v>
      </c>
      <c r="E121" s="57">
        <v>0.36399999999999999</v>
      </c>
    </row>
    <row r="122" spans="1:5" x14ac:dyDescent="0.2">
      <c r="A122" s="70">
        <v>44663</v>
      </c>
      <c r="B122" s="57">
        <v>2365.1999999999998</v>
      </c>
      <c r="C122" s="57">
        <v>2365</v>
      </c>
      <c r="D122" s="57">
        <v>2</v>
      </c>
      <c r="E122" s="57">
        <v>0.438</v>
      </c>
    </row>
    <row r="123" spans="1:5" x14ac:dyDescent="0.2">
      <c r="A123" s="70">
        <v>44663</v>
      </c>
      <c r="B123" s="57">
        <v>2369.5</v>
      </c>
      <c r="C123" s="57">
        <v>2369</v>
      </c>
      <c r="D123" s="57">
        <v>5</v>
      </c>
      <c r="E123" s="57">
        <v>0.372</v>
      </c>
    </row>
    <row r="124" spans="1:5" x14ac:dyDescent="0.2">
      <c r="A124" s="70">
        <v>44663</v>
      </c>
      <c r="B124" s="57">
        <v>2367.1999999999998</v>
      </c>
      <c r="C124" s="57">
        <v>2367</v>
      </c>
      <c r="D124" s="57">
        <v>2</v>
      </c>
      <c r="E124" s="57">
        <v>0.23899999999999999</v>
      </c>
    </row>
    <row r="125" spans="1:5" x14ac:dyDescent="0.2">
      <c r="A125" s="70">
        <v>44663</v>
      </c>
      <c r="B125" s="57">
        <v>2347.4</v>
      </c>
      <c r="C125" s="57">
        <v>2347</v>
      </c>
      <c r="D125" s="57">
        <v>4</v>
      </c>
      <c r="E125" s="57">
        <v>0.24099999999999999</v>
      </c>
    </row>
    <row r="126" spans="1:5" x14ac:dyDescent="0.2">
      <c r="A126" s="70">
        <v>44663</v>
      </c>
      <c r="B126" s="57">
        <v>2346.1999999999998</v>
      </c>
      <c r="C126" s="57">
        <v>2346</v>
      </c>
      <c r="D126" s="57">
        <v>2</v>
      </c>
      <c r="E126" s="57">
        <v>0.51400000000000001</v>
      </c>
    </row>
    <row r="127" spans="1:5" x14ac:dyDescent="0.2">
      <c r="A127" s="70">
        <v>44663</v>
      </c>
      <c r="B127" s="57">
        <v>2367.6</v>
      </c>
      <c r="C127" s="57">
        <v>2367</v>
      </c>
      <c r="D127" s="57">
        <v>6</v>
      </c>
      <c r="E127" s="57">
        <v>4.2000000000000003E-2</v>
      </c>
    </row>
    <row r="128" spans="1:5" x14ac:dyDescent="0.2">
      <c r="A128" s="70">
        <v>44663</v>
      </c>
      <c r="B128" s="57">
        <v>2346.3000000000002</v>
      </c>
      <c r="C128" s="57">
        <v>2346</v>
      </c>
      <c r="D128" s="57">
        <v>3</v>
      </c>
      <c r="E128" s="57">
        <v>0.32200000000000001</v>
      </c>
    </row>
    <row r="129" spans="1:5" x14ac:dyDescent="0.2">
      <c r="A129" s="70">
        <v>44663</v>
      </c>
      <c r="B129" s="57">
        <v>2365.1</v>
      </c>
      <c r="C129" s="57">
        <v>2365</v>
      </c>
      <c r="D129" s="57">
        <v>1</v>
      </c>
      <c r="E129" s="57">
        <v>0.38600000000000001</v>
      </c>
    </row>
    <row r="130" spans="1:5" x14ac:dyDescent="0.2">
      <c r="A130" s="70">
        <v>44663</v>
      </c>
      <c r="B130" s="57">
        <v>2343.1</v>
      </c>
      <c r="C130" s="57">
        <v>2343</v>
      </c>
      <c r="D130" s="57">
        <v>1</v>
      </c>
      <c r="E130" s="57">
        <v>0.91400000000000003</v>
      </c>
    </row>
    <row r="131" spans="1:5" x14ac:dyDescent="0.2">
      <c r="A131" s="70">
        <v>44663</v>
      </c>
      <c r="B131" s="57">
        <v>2347.1999999999998</v>
      </c>
      <c r="C131" s="57">
        <v>2347</v>
      </c>
      <c r="D131" s="57">
        <v>2</v>
      </c>
      <c r="E131" s="57">
        <v>0.224</v>
      </c>
    </row>
    <row r="132" spans="1:5" x14ac:dyDescent="0.2">
      <c r="A132" s="70">
        <v>44663</v>
      </c>
      <c r="B132" s="57">
        <v>2367.4</v>
      </c>
      <c r="C132" s="57">
        <v>2367</v>
      </c>
      <c r="D132" s="57">
        <v>4</v>
      </c>
      <c r="E132" s="57">
        <v>0.16600000000000001</v>
      </c>
    </row>
    <row r="133" spans="1:5" x14ac:dyDescent="0.2">
      <c r="A133" s="70">
        <v>44663</v>
      </c>
      <c r="B133" s="57">
        <v>2369.6</v>
      </c>
      <c r="C133" s="57">
        <v>2369</v>
      </c>
      <c r="D133" s="57">
        <v>6</v>
      </c>
      <c r="E133" s="57">
        <v>0.53800000000000003</v>
      </c>
    </row>
    <row r="134" spans="1:5" x14ac:dyDescent="0.2">
      <c r="A134" s="70">
        <v>44663</v>
      </c>
      <c r="B134" s="57">
        <v>2367.1</v>
      </c>
      <c r="C134" s="57">
        <v>2367</v>
      </c>
      <c r="D134" s="57">
        <v>1</v>
      </c>
      <c r="E134" s="57">
        <v>0.34</v>
      </c>
    </row>
    <row r="135" spans="1:5" x14ac:dyDescent="0.2">
      <c r="A135" s="70">
        <v>44663</v>
      </c>
      <c r="B135" s="57">
        <v>2346.6</v>
      </c>
      <c r="C135" s="57">
        <v>2346</v>
      </c>
      <c r="D135" s="57">
        <v>6</v>
      </c>
      <c r="E135" s="57">
        <v>8.5999999999999993E-2</v>
      </c>
    </row>
    <row r="136" spans="1:5" x14ac:dyDescent="0.2">
      <c r="A136" s="70">
        <v>44663</v>
      </c>
      <c r="B136" s="57">
        <v>2365.4</v>
      </c>
      <c r="C136" s="57">
        <v>2365</v>
      </c>
      <c r="D136" s="57">
        <v>4</v>
      </c>
      <c r="E136" s="57">
        <v>0.26100000000000001</v>
      </c>
    </row>
    <row r="137" spans="1:5" x14ac:dyDescent="0.2">
      <c r="A137" s="70">
        <v>44663</v>
      </c>
      <c r="B137" s="57">
        <v>2367.5</v>
      </c>
      <c r="C137" s="57">
        <v>2367</v>
      </c>
      <c r="D137" s="57">
        <v>5</v>
      </c>
      <c r="E137" s="57">
        <v>7.0999999999999994E-2</v>
      </c>
    </row>
    <row r="138" spans="1:5" x14ac:dyDescent="0.2">
      <c r="A138" s="70">
        <v>44663</v>
      </c>
      <c r="B138" s="57">
        <v>2347.6</v>
      </c>
      <c r="C138" s="57">
        <v>2347</v>
      </c>
      <c r="D138" s="57">
        <v>6</v>
      </c>
      <c r="E138" s="57">
        <v>0.106</v>
      </c>
    </row>
    <row r="139" spans="1:5" x14ac:dyDescent="0.2">
      <c r="A139" s="70">
        <v>44663</v>
      </c>
      <c r="B139" s="57">
        <v>2343.1999999999998</v>
      </c>
      <c r="C139" s="57">
        <v>2343</v>
      </c>
      <c r="D139" s="57">
        <v>2</v>
      </c>
      <c r="E139" s="57">
        <v>0.73699999999999999</v>
      </c>
    </row>
    <row r="140" spans="1:5" x14ac:dyDescent="0.2">
      <c r="A140" s="70">
        <v>44663</v>
      </c>
      <c r="B140" s="57">
        <v>2369.1</v>
      </c>
      <c r="C140" s="57">
        <v>2369</v>
      </c>
      <c r="D140" s="57">
        <v>1</v>
      </c>
      <c r="E140" s="57">
        <v>0.44400000000000001</v>
      </c>
    </row>
    <row r="141" spans="1:5" x14ac:dyDescent="0.2">
      <c r="A141" s="70">
        <v>44663</v>
      </c>
      <c r="B141" s="57">
        <v>2346.1</v>
      </c>
      <c r="C141" s="57">
        <v>2346</v>
      </c>
      <c r="D141" s="57">
        <v>1</v>
      </c>
      <c r="E141" s="57">
        <v>0.58899999999999997</v>
      </c>
    </row>
    <row r="142" spans="1:5" x14ac:dyDescent="0.2">
      <c r="A142" s="70">
        <v>44676</v>
      </c>
      <c r="B142" s="57">
        <v>2343.1999999999998</v>
      </c>
      <c r="C142" s="57">
        <v>2343</v>
      </c>
      <c r="D142" s="57">
        <v>2</v>
      </c>
      <c r="E142" s="57">
        <v>1.1180000000000001</v>
      </c>
    </row>
    <row r="143" spans="1:5" x14ac:dyDescent="0.2">
      <c r="A143" s="70">
        <v>44676</v>
      </c>
      <c r="B143" s="57">
        <v>2346.3000000000002</v>
      </c>
      <c r="C143" s="57">
        <v>2346</v>
      </c>
      <c r="D143" s="57">
        <v>3</v>
      </c>
      <c r="E143" s="57">
        <v>0.35799999999999998</v>
      </c>
    </row>
    <row r="144" spans="1:5" x14ac:dyDescent="0.2">
      <c r="A144" s="70">
        <v>44676</v>
      </c>
      <c r="B144" s="57">
        <v>2346.1</v>
      </c>
      <c r="C144" s="57">
        <v>2346</v>
      </c>
      <c r="D144" s="57">
        <v>1</v>
      </c>
      <c r="E144" s="57">
        <v>0.35599999999999998</v>
      </c>
    </row>
    <row r="145" spans="1:5" x14ac:dyDescent="0.2">
      <c r="A145" s="70">
        <v>44676</v>
      </c>
      <c r="B145" s="57">
        <v>2347.1</v>
      </c>
      <c r="C145" s="57">
        <v>2347</v>
      </c>
      <c r="D145" s="57">
        <v>1</v>
      </c>
      <c r="E145" s="57">
        <v>0.80900000000000005</v>
      </c>
    </row>
    <row r="146" spans="1:5" x14ac:dyDescent="0.2">
      <c r="A146" s="70">
        <v>44676</v>
      </c>
      <c r="B146" s="57">
        <v>2346.1999999999998</v>
      </c>
      <c r="C146" s="57">
        <v>2346</v>
      </c>
      <c r="D146" s="57">
        <v>2</v>
      </c>
      <c r="E146" s="57">
        <v>0.28999999999999998</v>
      </c>
    </row>
    <row r="147" spans="1:5" x14ac:dyDescent="0.2">
      <c r="A147" s="70">
        <v>44676</v>
      </c>
      <c r="B147" s="57">
        <v>2347.1999999999998</v>
      </c>
      <c r="C147" s="57">
        <v>2347</v>
      </c>
      <c r="D147" s="57">
        <v>2</v>
      </c>
      <c r="E147" s="57">
        <v>0.45400000000000001</v>
      </c>
    </row>
    <row r="148" spans="1:5" x14ac:dyDescent="0.2">
      <c r="A148" s="70">
        <v>44676</v>
      </c>
      <c r="B148" s="57">
        <v>2343.1</v>
      </c>
      <c r="C148" s="57">
        <v>2343</v>
      </c>
      <c r="D148" s="57">
        <v>1</v>
      </c>
      <c r="E148" s="57">
        <v>0.55600000000000005</v>
      </c>
    </row>
    <row r="149" spans="1:5" x14ac:dyDescent="0.2">
      <c r="A149" s="70">
        <v>44676</v>
      </c>
      <c r="B149" s="57">
        <v>2347.3000000000002</v>
      </c>
      <c r="C149" s="57">
        <v>2347</v>
      </c>
      <c r="D149" s="57">
        <v>3</v>
      </c>
      <c r="E149" s="57">
        <v>1.6990000000000001</v>
      </c>
    </row>
    <row r="150" spans="1:5" x14ac:dyDescent="0.2">
      <c r="A150" s="70">
        <v>44676</v>
      </c>
      <c r="B150" s="57">
        <v>2367.3000000000002</v>
      </c>
      <c r="C150" s="57">
        <v>2367</v>
      </c>
      <c r="D150" s="57">
        <v>3</v>
      </c>
      <c r="E150" s="57">
        <v>0.33200000000000002</v>
      </c>
    </row>
    <row r="151" spans="1:5" x14ac:dyDescent="0.2">
      <c r="A151" s="70">
        <v>44676</v>
      </c>
      <c r="B151" s="57">
        <v>2367.1999999999998</v>
      </c>
      <c r="C151" s="57">
        <v>2367</v>
      </c>
      <c r="D151" s="57">
        <v>2</v>
      </c>
      <c r="E151" s="57">
        <v>0.46200000000000002</v>
      </c>
    </row>
    <row r="152" spans="1:5" x14ac:dyDescent="0.2">
      <c r="A152" s="70">
        <v>44676</v>
      </c>
      <c r="B152" s="57">
        <v>2367.1</v>
      </c>
      <c r="C152" s="57">
        <v>2367</v>
      </c>
      <c r="D152" s="57">
        <v>1</v>
      </c>
      <c r="E152" s="57">
        <v>0.29099999999999998</v>
      </c>
    </row>
    <row r="153" spans="1:5" x14ac:dyDescent="0.2">
      <c r="A153" s="70">
        <v>44676</v>
      </c>
      <c r="B153" s="57">
        <v>2343.3000000000002</v>
      </c>
      <c r="C153" s="57">
        <v>2343</v>
      </c>
      <c r="D153" s="57">
        <v>3</v>
      </c>
      <c r="E153" s="57">
        <v>1.474</v>
      </c>
    </row>
    <row r="154" spans="1:5" x14ac:dyDescent="0.2">
      <c r="A154" s="70">
        <v>44676</v>
      </c>
      <c r="B154" s="57">
        <v>2365.6999999999998</v>
      </c>
      <c r="C154" s="57">
        <v>2365</v>
      </c>
      <c r="D154" s="57">
        <v>7</v>
      </c>
      <c r="E154" s="57">
        <v>0.81950000000000001</v>
      </c>
    </row>
    <row r="155" spans="1:5" x14ac:dyDescent="0.2">
      <c r="A155" s="70">
        <v>44676</v>
      </c>
      <c r="B155" s="57">
        <v>2365.1</v>
      </c>
      <c r="C155" s="57">
        <v>2365</v>
      </c>
      <c r="D155" s="57">
        <v>1</v>
      </c>
      <c r="E155" s="57">
        <v>0.25140000000000001</v>
      </c>
    </row>
    <row r="156" spans="1:5" x14ac:dyDescent="0.2">
      <c r="A156" s="70">
        <v>44676</v>
      </c>
      <c r="B156" s="57">
        <v>2369.5</v>
      </c>
      <c r="C156" s="57">
        <v>2369</v>
      </c>
      <c r="D156" s="57">
        <v>5</v>
      </c>
      <c r="E156" s="57">
        <v>0.65190000000000003</v>
      </c>
    </row>
    <row r="157" spans="1:5" x14ac:dyDescent="0.2">
      <c r="A157" s="70">
        <v>44676</v>
      </c>
      <c r="B157" s="57">
        <v>2343.4</v>
      </c>
      <c r="C157" s="57">
        <v>2343</v>
      </c>
      <c r="D157" s="57">
        <v>4</v>
      </c>
      <c r="E157" s="57">
        <v>0.80179999999999996</v>
      </c>
    </row>
    <row r="158" spans="1:5" x14ac:dyDescent="0.2">
      <c r="A158" s="70">
        <v>44676</v>
      </c>
      <c r="B158" s="57">
        <v>2347.5</v>
      </c>
      <c r="C158" s="57">
        <v>2347</v>
      </c>
      <c r="D158" s="57">
        <v>5</v>
      </c>
      <c r="E158" s="57">
        <v>0.35549999999999998</v>
      </c>
    </row>
    <row r="159" spans="1:5" x14ac:dyDescent="0.2">
      <c r="A159" s="70">
        <v>44676</v>
      </c>
      <c r="B159" s="57">
        <v>2365.3000000000002</v>
      </c>
      <c r="C159" s="57">
        <v>2365</v>
      </c>
      <c r="D159" s="57">
        <v>3</v>
      </c>
      <c r="E159" s="57">
        <v>0.70220000000000005</v>
      </c>
    </row>
    <row r="160" spans="1:5" x14ac:dyDescent="0.2">
      <c r="A160" s="70">
        <v>44676</v>
      </c>
      <c r="B160" s="57">
        <v>2367.5</v>
      </c>
      <c r="C160" s="57">
        <v>2367</v>
      </c>
      <c r="D160" s="57">
        <v>5</v>
      </c>
      <c r="E160" s="57">
        <v>0.43240000000000001</v>
      </c>
    </row>
    <row r="161" spans="1:5" x14ac:dyDescent="0.2">
      <c r="A161" s="70">
        <v>44676</v>
      </c>
      <c r="B161" s="57">
        <v>2347.6</v>
      </c>
      <c r="C161" s="57">
        <v>2347</v>
      </c>
      <c r="D161" s="57">
        <v>6</v>
      </c>
      <c r="E161" s="57">
        <v>0.44729999999999998</v>
      </c>
    </row>
    <row r="162" spans="1:5" x14ac:dyDescent="0.2">
      <c r="A162" s="70">
        <v>44676</v>
      </c>
      <c r="B162" s="57">
        <v>2365.4</v>
      </c>
      <c r="C162" s="57">
        <v>2365</v>
      </c>
      <c r="D162" s="57">
        <v>4</v>
      </c>
      <c r="E162" s="57">
        <v>0.68200000000000005</v>
      </c>
    </row>
    <row r="163" spans="1:5" x14ac:dyDescent="0.2">
      <c r="A163" s="70">
        <v>44676</v>
      </c>
      <c r="B163" s="57">
        <v>2365.5</v>
      </c>
      <c r="C163" s="57">
        <v>2365</v>
      </c>
      <c r="D163" s="57">
        <v>5</v>
      </c>
      <c r="E163" s="57">
        <v>0.83889999999999998</v>
      </c>
    </row>
    <row r="164" spans="1:5" x14ac:dyDescent="0.2">
      <c r="A164" s="70">
        <v>44676</v>
      </c>
      <c r="B164" s="57">
        <v>2365.1999999999998</v>
      </c>
      <c r="C164" s="57">
        <v>2365</v>
      </c>
      <c r="D164" s="57">
        <v>2</v>
      </c>
      <c r="E164" s="57">
        <v>0.2054</v>
      </c>
    </row>
    <row r="165" spans="1:5" x14ac:dyDescent="0.2">
      <c r="A165" s="70">
        <v>44676</v>
      </c>
      <c r="B165" s="57">
        <v>2365.6</v>
      </c>
      <c r="C165" s="57">
        <v>2365</v>
      </c>
      <c r="D165" s="57">
        <v>6</v>
      </c>
      <c r="E165" s="57">
        <v>0.4199</v>
      </c>
    </row>
    <row r="166" spans="1:5" x14ac:dyDescent="0.2">
      <c r="A166" s="70">
        <v>44676</v>
      </c>
      <c r="B166" s="57">
        <v>2367.4</v>
      </c>
      <c r="C166" s="57">
        <v>2367</v>
      </c>
      <c r="D166" s="57">
        <v>4</v>
      </c>
      <c r="E166" s="57">
        <v>0.19439999999999999</v>
      </c>
    </row>
    <row r="167" spans="1:5" x14ac:dyDescent="0.2">
      <c r="A167" s="70">
        <v>44676</v>
      </c>
      <c r="B167" s="57">
        <v>2365.6</v>
      </c>
      <c r="C167" s="57">
        <v>2365</v>
      </c>
      <c r="D167" s="57">
        <v>6</v>
      </c>
      <c r="E167" s="57">
        <v>0.03</v>
      </c>
    </row>
    <row r="168" spans="1:5" x14ac:dyDescent="0.2">
      <c r="A168" s="70">
        <v>44676</v>
      </c>
      <c r="B168" s="57">
        <v>2347.4</v>
      </c>
      <c r="C168" s="57">
        <v>2347</v>
      </c>
      <c r="D168" s="57">
        <v>4</v>
      </c>
      <c r="E168" s="57">
        <v>0.71830000000000005</v>
      </c>
    </row>
    <row r="169" spans="1:5" x14ac:dyDescent="0.2">
      <c r="A169" s="70">
        <v>44676</v>
      </c>
      <c r="B169" s="57">
        <v>2369.6</v>
      </c>
      <c r="C169" s="57">
        <v>2369</v>
      </c>
      <c r="D169" s="57">
        <v>6</v>
      </c>
      <c r="E169" s="57">
        <v>0.6764</v>
      </c>
    </row>
    <row r="170" spans="1:5" x14ac:dyDescent="0.2">
      <c r="A170" s="70">
        <v>44676</v>
      </c>
      <c r="B170" s="57">
        <v>2365.6</v>
      </c>
      <c r="C170" s="57">
        <v>2365</v>
      </c>
      <c r="D170" s="57">
        <v>6</v>
      </c>
      <c r="E170" s="57">
        <v>0.2964</v>
      </c>
    </row>
    <row r="171" spans="1:5" x14ac:dyDescent="0.2">
      <c r="A171" s="70">
        <v>44676</v>
      </c>
      <c r="B171" s="57">
        <v>2346.4</v>
      </c>
      <c r="C171" s="57">
        <v>2346</v>
      </c>
      <c r="D171" s="57">
        <v>4</v>
      </c>
      <c r="E171" s="57">
        <v>0.25319999999999998</v>
      </c>
    </row>
    <row r="172" spans="1:5" x14ac:dyDescent="0.2">
      <c r="A172" s="70">
        <v>44676</v>
      </c>
      <c r="B172" s="57">
        <v>2369.1</v>
      </c>
      <c r="C172" s="57">
        <v>2369</v>
      </c>
      <c r="D172" s="57">
        <v>1</v>
      </c>
      <c r="E172" s="57">
        <v>0.65429999999999999</v>
      </c>
    </row>
    <row r="173" spans="1:5" x14ac:dyDescent="0.2">
      <c r="A173" s="70">
        <v>44676</v>
      </c>
      <c r="B173" s="57">
        <v>2343.6</v>
      </c>
      <c r="C173" s="57">
        <v>2343</v>
      </c>
      <c r="D173" s="57">
        <v>6</v>
      </c>
      <c r="E173" s="57">
        <v>1.2201</v>
      </c>
    </row>
    <row r="174" spans="1:5" x14ac:dyDescent="0.2">
      <c r="A174" s="70">
        <v>44676</v>
      </c>
      <c r="B174" s="57">
        <v>2343.5</v>
      </c>
      <c r="C174" s="57">
        <v>2343</v>
      </c>
      <c r="D174" s="57">
        <v>5</v>
      </c>
      <c r="E174" s="57">
        <v>1.0589</v>
      </c>
    </row>
    <row r="175" spans="1:5" x14ac:dyDescent="0.2">
      <c r="A175" s="70">
        <v>44676</v>
      </c>
      <c r="B175" s="57">
        <v>2369.1999999999998</v>
      </c>
      <c r="C175" s="57">
        <v>2369</v>
      </c>
      <c r="D175" s="57">
        <v>2</v>
      </c>
      <c r="E175" s="57">
        <v>0.90910000000000002</v>
      </c>
    </row>
    <row r="176" spans="1:5" x14ac:dyDescent="0.2">
      <c r="A176" s="70">
        <v>44676</v>
      </c>
      <c r="B176" s="57">
        <v>2369.4</v>
      </c>
      <c r="C176" s="57">
        <v>2369</v>
      </c>
      <c r="D176" s="57">
        <v>4</v>
      </c>
      <c r="E176" s="57">
        <v>0.27100000000000002</v>
      </c>
    </row>
    <row r="177" spans="1:5" x14ac:dyDescent="0.2">
      <c r="A177" s="70">
        <v>44676</v>
      </c>
      <c r="B177" s="57">
        <v>2346.6</v>
      </c>
      <c r="C177" s="57">
        <v>2346</v>
      </c>
      <c r="D177" s="57">
        <v>6</v>
      </c>
      <c r="E177" s="57">
        <v>0.13780000000000001</v>
      </c>
    </row>
    <row r="178" spans="1:5" x14ac:dyDescent="0.2">
      <c r="A178" s="70">
        <v>44676</v>
      </c>
      <c r="B178" s="57">
        <v>2346.5</v>
      </c>
      <c r="C178" s="57">
        <v>2346</v>
      </c>
      <c r="D178" s="57">
        <v>5</v>
      </c>
      <c r="E178" s="57">
        <v>0.50900000000000001</v>
      </c>
    </row>
    <row r="179" spans="1:5" x14ac:dyDescent="0.2">
      <c r="A179" s="70">
        <v>44676</v>
      </c>
      <c r="B179" s="57">
        <v>2369.3000000000002</v>
      </c>
      <c r="C179" s="57">
        <v>2369</v>
      </c>
      <c r="D179" s="57">
        <v>3</v>
      </c>
      <c r="E179" s="57">
        <v>0.19719999999999999</v>
      </c>
    </row>
    <row r="180" spans="1:5" x14ac:dyDescent="0.2">
      <c r="A180" s="70">
        <v>44704</v>
      </c>
      <c r="B180" s="57">
        <v>2369.6999999999998</v>
      </c>
      <c r="C180" s="57">
        <v>2369</v>
      </c>
      <c r="D180" s="57">
        <v>7</v>
      </c>
      <c r="E180" s="57">
        <v>0.34460000000000002</v>
      </c>
    </row>
    <row r="181" spans="1:5" x14ac:dyDescent="0.2">
      <c r="A181" s="70">
        <v>44704</v>
      </c>
      <c r="B181" s="57">
        <v>2369.5</v>
      </c>
      <c r="C181" s="57">
        <v>2369</v>
      </c>
      <c r="D181" s="57">
        <v>5</v>
      </c>
      <c r="E181" s="57">
        <v>0.46039999999999998</v>
      </c>
    </row>
    <row r="182" spans="1:5" x14ac:dyDescent="0.2">
      <c r="A182" s="70">
        <v>44704</v>
      </c>
      <c r="B182" s="57">
        <v>2343.4</v>
      </c>
      <c r="C182" s="57">
        <v>2343</v>
      </c>
      <c r="D182" s="57">
        <v>4</v>
      </c>
      <c r="E182" s="57">
        <v>0.86339999999999995</v>
      </c>
    </row>
    <row r="183" spans="1:5" x14ac:dyDescent="0.2">
      <c r="A183" s="70">
        <v>44704</v>
      </c>
      <c r="B183" s="57">
        <v>2367.4</v>
      </c>
      <c r="C183" s="57">
        <v>2367</v>
      </c>
      <c r="D183" s="57">
        <v>4</v>
      </c>
      <c r="E183" s="57">
        <v>0.25240000000000001</v>
      </c>
    </row>
    <row r="184" spans="1:5" x14ac:dyDescent="0.2">
      <c r="A184" s="70">
        <v>44704</v>
      </c>
      <c r="B184" s="57">
        <v>2347.6</v>
      </c>
      <c r="C184" s="57">
        <v>2347</v>
      </c>
      <c r="D184" s="57">
        <v>6</v>
      </c>
      <c r="E184" s="57">
        <v>0.2959</v>
      </c>
    </row>
    <row r="185" spans="1:5" x14ac:dyDescent="0.2">
      <c r="A185" s="70">
        <v>44704</v>
      </c>
      <c r="B185" s="57">
        <v>2367.5</v>
      </c>
      <c r="C185" s="57">
        <v>2367</v>
      </c>
      <c r="D185" s="57">
        <v>5</v>
      </c>
      <c r="E185" s="57">
        <v>0.5242</v>
      </c>
    </row>
    <row r="186" spans="1:5" x14ac:dyDescent="0.2">
      <c r="A186" s="70">
        <v>44704</v>
      </c>
      <c r="B186" s="57">
        <v>2365.4</v>
      </c>
      <c r="C186" s="57">
        <v>2365</v>
      </c>
      <c r="D186" s="57">
        <v>4</v>
      </c>
      <c r="E186" s="57">
        <v>0.15609999999999999</v>
      </c>
    </row>
    <row r="187" spans="1:5" x14ac:dyDescent="0.2">
      <c r="A187" s="70">
        <v>44704</v>
      </c>
      <c r="B187" s="57">
        <v>2357.5</v>
      </c>
      <c r="C187" s="57">
        <v>2367</v>
      </c>
      <c r="D187" s="57">
        <v>6</v>
      </c>
      <c r="E187" s="57">
        <v>0.97670000000000001</v>
      </c>
    </row>
    <row r="188" spans="1:5" x14ac:dyDescent="0.2">
      <c r="A188" s="70">
        <v>44704</v>
      </c>
      <c r="B188" s="57">
        <v>2365.5</v>
      </c>
      <c r="C188" s="57">
        <v>2365</v>
      </c>
      <c r="D188" s="57">
        <v>5</v>
      </c>
      <c r="E188" s="57">
        <v>0.33250000000000002</v>
      </c>
    </row>
    <row r="189" spans="1:5" x14ac:dyDescent="0.2">
      <c r="A189" s="70">
        <v>44704</v>
      </c>
      <c r="B189" s="57">
        <v>2347.5</v>
      </c>
      <c r="C189" s="57">
        <v>2347</v>
      </c>
      <c r="D189" s="57">
        <v>5</v>
      </c>
      <c r="E189" s="57">
        <v>1.2854000000000001</v>
      </c>
    </row>
    <row r="190" spans="1:5" x14ac:dyDescent="0.2">
      <c r="A190" s="70">
        <v>44704</v>
      </c>
      <c r="B190" s="57">
        <v>2347.6999999999998</v>
      </c>
      <c r="C190" s="57">
        <v>2347</v>
      </c>
      <c r="D190" s="57">
        <v>7</v>
      </c>
      <c r="E190" s="57">
        <v>0.1827</v>
      </c>
    </row>
    <row r="191" spans="1:5" x14ac:dyDescent="0.2">
      <c r="A191" s="70">
        <v>44704</v>
      </c>
      <c r="B191" s="57">
        <v>2369.3000000000002</v>
      </c>
      <c r="C191" s="57">
        <v>2369</v>
      </c>
      <c r="D191" s="57">
        <v>3</v>
      </c>
      <c r="E191" s="57">
        <v>0.50509999999999999</v>
      </c>
    </row>
    <row r="192" spans="1:5" x14ac:dyDescent="0.2">
      <c r="A192" s="70">
        <v>44704</v>
      </c>
      <c r="B192" s="57">
        <v>2347.4</v>
      </c>
      <c r="C192" s="57">
        <v>2347</v>
      </c>
      <c r="D192" s="57">
        <v>4</v>
      </c>
      <c r="E192" s="57">
        <v>0.44340000000000002</v>
      </c>
    </row>
    <row r="193" spans="1:5" x14ac:dyDescent="0.2">
      <c r="A193" s="70">
        <v>44704</v>
      </c>
      <c r="B193" s="57">
        <v>2369.6</v>
      </c>
      <c r="C193" s="57">
        <v>2369</v>
      </c>
      <c r="D193" s="57">
        <v>6</v>
      </c>
      <c r="E193" s="57">
        <v>0.87239999999999995</v>
      </c>
    </row>
    <row r="194" spans="1:5" x14ac:dyDescent="0.2">
      <c r="A194" s="70">
        <v>44704</v>
      </c>
      <c r="B194" s="57">
        <v>2343.6</v>
      </c>
      <c r="C194" s="57">
        <v>2343</v>
      </c>
      <c r="D194" s="57">
        <v>6</v>
      </c>
      <c r="E194" s="57">
        <v>0.45710000000000001</v>
      </c>
    </row>
    <row r="195" spans="1:5" x14ac:dyDescent="0.2">
      <c r="A195" s="70">
        <v>44704</v>
      </c>
      <c r="B195" s="57">
        <v>2343.6999999999998</v>
      </c>
      <c r="C195" s="57">
        <v>2343</v>
      </c>
      <c r="D195" s="57">
        <v>7</v>
      </c>
      <c r="E195" s="57">
        <v>0.50039999999999996</v>
      </c>
    </row>
    <row r="196" spans="1:5" x14ac:dyDescent="0.2">
      <c r="A196" s="70">
        <v>44704</v>
      </c>
      <c r="B196" s="57">
        <v>2369.1</v>
      </c>
      <c r="C196" s="57">
        <v>2369</v>
      </c>
      <c r="D196" s="57">
        <v>1</v>
      </c>
      <c r="E196" s="57">
        <v>1.4619</v>
      </c>
    </row>
    <row r="197" spans="1:5" x14ac:dyDescent="0.2">
      <c r="A197" s="70">
        <v>44625</v>
      </c>
      <c r="B197" s="57">
        <v>2346.6</v>
      </c>
      <c r="C197" s="57">
        <v>2346</v>
      </c>
      <c r="D197" s="57">
        <v>6</v>
      </c>
      <c r="E197" s="57">
        <v>0.31359999999999999</v>
      </c>
    </row>
    <row r="198" spans="1:5" x14ac:dyDescent="0.2">
      <c r="A198" s="70">
        <v>44704</v>
      </c>
      <c r="B198" s="57">
        <v>2367.1</v>
      </c>
      <c r="C198" s="57">
        <v>2367</v>
      </c>
      <c r="D198" s="57">
        <v>1</v>
      </c>
      <c r="E198" s="57">
        <v>0.34920000000000001</v>
      </c>
    </row>
    <row r="199" spans="1:5" x14ac:dyDescent="0.2">
      <c r="A199" s="70">
        <v>44704</v>
      </c>
      <c r="B199" s="57">
        <v>2346.3000000000002</v>
      </c>
      <c r="C199" s="57">
        <v>2346</v>
      </c>
      <c r="D199" s="57">
        <v>3</v>
      </c>
      <c r="E199" s="57">
        <v>0.26419999999999999</v>
      </c>
    </row>
    <row r="200" spans="1:5" x14ac:dyDescent="0.2">
      <c r="A200" s="70">
        <v>44704</v>
      </c>
      <c r="B200" s="57">
        <v>2365.3000000000002</v>
      </c>
      <c r="C200" s="57">
        <v>2365</v>
      </c>
      <c r="D200" s="57">
        <v>3</v>
      </c>
      <c r="E200" s="57">
        <v>0.56340000000000001</v>
      </c>
    </row>
    <row r="201" spans="1:5" x14ac:dyDescent="0.2">
      <c r="A201" s="70">
        <v>44704</v>
      </c>
      <c r="B201" s="57">
        <v>2365.1999999999998</v>
      </c>
      <c r="C201" s="57">
        <v>2365</v>
      </c>
      <c r="D201" s="57">
        <v>2</v>
      </c>
      <c r="E201" s="57">
        <v>0.27500000000000002</v>
      </c>
    </row>
    <row r="202" spans="1:5" x14ac:dyDescent="0.2">
      <c r="A202" s="70">
        <v>44704</v>
      </c>
      <c r="B202" s="57">
        <v>2343.5</v>
      </c>
      <c r="C202" s="57">
        <v>2343</v>
      </c>
      <c r="D202" s="57">
        <v>5</v>
      </c>
      <c r="E202" s="57">
        <v>0.25940000000000002</v>
      </c>
    </row>
    <row r="203" spans="1:5" x14ac:dyDescent="0.2">
      <c r="A203" s="70">
        <v>44704</v>
      </c>
      <c r="B203" s="57">
        <v>2369.1999999999998</v>
      </c>
      <c r="C203" s="57">
        <v>2369</v>
      </c>
      <c r="D203" s="57">
        <v>2</v>
      </c>
      <c r="E203" s="57">
        <v>1.6497999999999999</v>
      </c>
    </row>
    <row r="204" spans="1:5" x14ac:dyDescent="0.2">
      <c r="A204" s="70">
        <v>44704</v>
      </c>
      <c r="B204" s="57">
        <v>2365.6</v>
      </c>
      <c r="C204" s="57">
        <v>2365</v>
      </c>
      <c r="D204" s="57">
        <v>6</v>
      </c>
      <c r="E204" s="57">
        <v>0.68169999999999997</v>
      </c>
    </row>
    <row r="205" spans="1:5" x14ac:dyDescent="0.2">
      <c r="A205" s="70">
        <v>44704</v>
      </c>
      <c r="B205" s="57">
        <v>2369.4</v>
      </c>
      <c r="C205" s="57">
        <v>2369</v>
      </c>
      <c r="D205" s="57">
        <v>4</v>
      </c>
      <c r="E205" s="57">
        <v>0.49859999999999999</v>
      </c>
    </row>
    <row r="206" spans="1:5" x14ac:dyDescent="0.2">
      <c r="A206" s="70">
        <v>44704</v>
      </c>
      <c r="B206" s="57">
        <v>2347.1999999999998</v>
      </c>
      <c r="C206" s="57">
        <v>2347</v>
      </c>
      <c r="D206" s="57">
        <v>2</v>
      </c>
      <c r="E206" s="57">
        <v>0.65090000000000003</v>
      </c>
    </row>
    <row r="207" spans="1:5" x14ac:dyDescent="0.2">
      <c r="A207" s="70">
        <v>44704</v>
      </c>
      <c r="B207" s="57">
        <v>2343.1</v>
      </c>
      <c r="C207" s="57">
        <v>2343</v>
      </c>
      <c r="D207" s="57">
        <v>1</v>
      </c>
      <c r="E207" s="57">
        <v>1.9000999999999999</v>
      </c>
    </row>
    <row r="208" spans="1:5" x14ac:dyDescent="0.2">
      <c r="A208" s="70">
        <v>44704</v>
      </c>
      <c r="B208" s="57">
        <v>2367.1999999999998</v>
      </c>
      <c r="C208" s="57">
        <v>2367</v>
      </c>
      <c r="D208" s="57">
        <v>2</v>
      </c>
      <c r="E208" s="57">
        <v>0.12189999999999999</v>
      </c>
    </row>
    <row r="209" spans="1:5" x14ac:dyDescent="0.2">
      <c r="A209" s="70">
        <v>44704</v>
      </c>
      <c r="B209" s="57">
        <v>2347.5</v>
      </c>
      <c r="C209" s="57">
        <v>2347</v>
      </c>
      <c r="D209" s="57">
        <v>5</v>
      </c>
      <c r="E209" s="57">
        <v>0.2238</v>
      </c>
    </row>
    <row r="210" spans="1:5" x14ac:dyDescent="0.2">
      <c r="A210" s="70">
        <v>44704</v>
      </c>
      <c r="B210" s="57">
        <v>2346.4</v>
      </c>
      <c r="C210" s="57">
        <v>2346</v>
      </c>
      <c r="D210" s="57">
        <v>4</v>
      </c>
      <c r="E210" s="57">
        <v>0.48159999999999997</v>
      </c>
    </row>
    <row r="211" spans="1:5" x14ac:dyDescent="0.2">
      <c r="A211" s="70">
        <v>44704</v>
      </c>
      <c r="B211" s="57">
        <v>2346.1999999999998</v>
      </c>
      <c r="C211" s="57">
        <v>2346</v>
      </c>
      <c r="D211" s="57">
        <v>2</v>
      </c>
      <c r="E211" s="57">
        <v>0.24859999999999999</v>
      </c>
    </row>
    <row r="212" spans="1:5" x14ac:dyDescent="0.2">
      <c r="A212" s="70">
        <v>44704</v>
      </c>
      <c r="B212" s="57">
        <v>2343.3000000000002</v>
      </c>
      <c r="C212" s="57">
        <v>2343</v>
      </c>
      <c r="D212" s="57">
        <v>3</v>
      </c>
      <c r="E212" s="57">
        <v>0.48039999999999999</v>
      </c>
    </row>
    <row r="213" spans="1:5" x14ac:dyDescent="0.2">
      <c r="A213" s="70">
        <v>44704</v>
      </c>
      <c r="B213" s="57">
        <v>2346.1</v>
      </c>
      <c r="C213" s="57">
        <v>2346</v>
      </c>
      <c r="D213" s="57">
        <v>1</v>
      </c>
      <c r="E213" s="57">
        <v>0.11169999999999999</v>
      </c>
    </row>
    <row r="214" spans="1:5" x14ac:dyDescent="0.2">
      <c r="A214" s="70">
        <v>44704</v>
      </c>
      <c r="B214" s="57">
        <v>2343.1999999999998</v>
      </c>
      <c r="C214" s="57">
        <v>2343</v>
      </c>
      <c r="D214" s="57">
        <v>2</v>
      </c>
      <c r="E214" s="57">
        <v>0.80530000000000002</v>
      </c>
    </row>
    <row r="215" spans="1:5" x14ac:dyDescent="0.2">
      <c r="A215" s="70">
        <v>44704</v>
      </c>
      <c r="B215" s="57">
        <v>2347.3000000000002</v>
      </c>
      <c r="C215" s="57">
        <v>2347</v>
      </c>
      <c r="D215" s="57">
        <v>3</v>
      </c>
      <c r="E215" s="57">
        <v>0.42949999999999999</v>
      </c>
    </row>
    <row r="216" spans="1:5" x14ac:dyDescent="0.2">
      <c r="A216" s="70">
        <v>44704</v>
      </c>
      <c r="B216" s="57">
        <v>2347.1</v>
      </c>
      <c r="C216" s="57">
        <v>2347</v>
      </c>
      <c r="D216" s="57">
        <v>1</v>
      </c>
      <c r="E216" s="57">
        <v>0.44359999999999999</v>
      </c>
    </row>
    <row r="217" spans="1:5" x14ac:dyDescent="0.2">
      <c r="A217" s="70">
        <v>44704</v>
      </c>
      <c r="B217" s="57">
        <v>2367.3000000000002</v>
      </c>
      <c r="C217" s="57">
        <v>2367</v>
      </c>
      <c r="D217" s="57">
        <v>3</v>
      </c>
      <c r="E217" s="57">
        <v>0.18970000000000001</v>
      </c>
    </row>
    <row r="218" spans="1:5" x14ac:dyDescent="0.2">
      <c r="A218" s="70">
        <v>44704</v>
      </c>
      <c r="B218" s="57">
        <v>2365.1</v>
      </c>
      <c r="C218" s="57">
        <v>2365</v>
      </c>
      <c r="D218" s="57">
        <v>1</v>
      </c>
      <c r="E218" s="57">
        <v>0.70689999999999997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3" max="3" width="17.3984375" customWidth="1"/>
  </cols>
  <sheetData>
    <row r="1" spans="1:26" x14ac:dyDescent="0.2">
      <c r="A1" s="68" t="s">
        <v>199</v>
      </c>
      <c r="B1" s="68" t="s">
        <v>201</v>
      </c>
      <c r="C1" s="68" t="s">
        <v>204</v>
      </c>
      <c r="D1" s="68" t="s">
        <v>205</v>
      </c>
      <c r="E1" s="68" t="s">
        <v>206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x14ac:dyDescent="0.2">
      <c r="A2" s="73">
        <v>44650</v>
      </c>
      <c r="B2" s="57">
        <v>2381</v>
      </c>
      <c r="C2" s="57" t="s">
        <v>160</v>
      </c>
      <c r="D2" s="57">
        <v>0.3</v>
      </c>
      <c r="E2" s="57">
        <v>0.59599999999999997</v>
      </c>
    </row>
    <row r="3" spans="1:26" x14ac:dyDescent="0.2">
      <c r="A3" s="73">
        <v>44650</v>
      </c>
      <c r="B3" s="57">
        <v>2384</v>
      </c>
      <c r="C3" s="57" t="s">
        <v>160</v>
      </c>
      <c r="D3" s="57">
        <v>0.21299999999999999</v>
      </c>
      <c r="E3" s="57">
        <v>0.29399999999999998</v>
      </c>
    </row>
    <row r="4" spans="1:26" x14ac:dyDescent="0.2">
      <c r="A4" s="70">
        <v>44650</v>
      </c>
      <c r="B4" s="57">
        <v>2365</v>
      </c>
      <c r="C4" s="57" t="s">
        <v>160</v>
      </c>
      <c r="D4" s="57">
        <v>0.47099999999999997</v>
      </c>
      <c r="E4" s="57">
        <v>0.622</v>
      </c>
    </row>
    <row r="5" spans="1:26" x14ac:dyDescent="0.2">
      <c r="A5" s="70">
        <v>44650</v>
      </c>
      <c r="B5" s="57">
        <v>2343</v>
      </c>
      <c r="C5" s="57" t="s">
        <v>161</v>
      </c>
      <c r="D5" s="57">
        <v>0.316</v>
      </c>
      <c r="E5" s="57">
        <v>0.42699999999999999</v>
      </c>
    </row>
    <row r="6" spans="1:26" x14ac:dyDescent="0.2">
      <c r="A6" s="70">
        <v>44650</v>
      </c>
      <c r="B6" s="57">
        <v>2343</v>
      </c>
      <c r="C6" s="57" t="s">
        <v>160</v>
      </c>
      <c r="D6" s="57">
        <v>0.40200000000000002</v>
      </c>
      <c r="E6" s="57">
        <v>0.51200000000000001</v>
      </c>
    </row>
    <row r="7" spans="1:26" x14ac:dyDescent="0.2">
      <c r="A7" s="70">
        <v>44650</v>
      </c>
      <c r="B7" s="57">
        <v>2382</v>
      </c>
      <c r="C7" s="57" t="s">
        <v>160</v>
      </c>
      <c r="D7" s="57">
        <v>0.20599999999999999</v>
      </c>
      <c r="E7" s="57">
        <v>0.64800000000000002</v>
      </c>
    </row>
    <row r="8" spans="1:26" x14ac:dyDescent="0.2">
      <c r="A8" s="70">
        <v>44650</v>
      </c>
      <c r="B8" s="57">
        <v>2009</v>
      </c>
      <c r="C8" s="57" t="s">
        <v>160</v>
      </c>
      <c r="D8" s="57">
        <v>0.24199999999999999</v>
      </c>
      <c r="E8" s="57">
        <v>0.57399999999999995</v>
      </c>
    </row>
    <row r="9" spans="1:26" x14ac:dyDescent="0.2">
      <c r="A9" s="70">
        <v>44650</v>
      </c>
      <c r="B9" s="57">
        <v>2360</v>
      </c>
      <c r="C9" s="57" t="s">
        <v>160</v>
      </c>
      <c r="D9" s="57">
        <v>0.26100000000000001</v>
      </c>
      <c r="E9" s="57">
        <v>0.41499999999999998</v>
      </c>
    </row>
    <row r="10" spans="1:26" x14ac:dyDescent="0.2">
      <c r="A10" s="70">
        <v>44650</v>
      </c>
      <c r="B10" s="57">
        <v>2383</v>
      </c>
      <c r="C10" s="57" t="s">
        <v>160</v>
      </c>
      <c r="D10" s="57">
        <v>6.5000000000000002E-2</v>
      </c>
      <c r="E10" s="57">
        <v>0.28999999999999998</v>
      </c>
    </row>
    <row r="11" spans="1:26" x14ac:dyDescent="0.2">
      <c r="A11" s="70">
        <v>44650</v>
      </c>
      <c r="B11" s="57">
        <v>2343</v>
      </c>
      <c r="C11" s="57" t="s">
        <v>161</v>
      </c>
      <c r="D11" s="57">
        <v>0.123</v>
      </c>
      <c r="E11" s="57">
        <v>0.36</v>
      </c>
    </row>
    <row r="12" spans="1:26" x14ac:dyDescent="0.2">
      <c r="A12" s="70">
        <v>44650</v>
      </c>
      <c r="B12" s="57">
        <v>2381</v>
      </c>
      <c r="C12" s="57" t="s">
        <v>162</v>
      </c>
      <c r="D12" s="57">
        <v>0.11799999999999999</v>
      </c>
      <c r="E12" s="57">
        <v>0.57499999999999996</v>
      </c>
    </row>
    <row r="13" spans="1:26" x14ac:dyDescent="0.2">
      <c r="A13" s="70">
        <v>44650</v>
      </c>
      <c r="B13" s="57">
        <v>2382</v>
      </c>
      <c r="C13" s="57" t="s">
        <v>160</v>
      </c>
      <c r="D13" s="57">
        <v>0.17399999999999999</v>
      </c>
      <c r="E13" s="57">
        <v>0.72099999999999997</v>
      </c>
    </row>
    <row r="14" spans="1:26" x14ac:dyDescent="0.2">
      <c r="A14" s="70">
        <v>44650</v>
      </c>
      <c r="B14" s="57">
        <v>2347</v>
      </c>
      <c r="C14" s="57" t="s">
        <v>160</v>
      </c>
      <c r="D14" s="57">
        <v>0.432</v>
      </c>
      <c r="E14" s="57">
        <v>0.59299999999999997</v>
      </c>
    </row>
    <row r="15" spans="1:26" x14ac:dyDescent="0.2">
      <c r="A15" s="70">
        <v>44684</v>
      </c>
      <c r="B15" s="57">
        <v>2009</v>
      </c>
      <c r="C15" s="57" t="s">
        <v>160</v>
      </c>
      <c r="D15" s="57">
        <v>9.6000000000000002E-2</v>
      </c>
      <c r="E15" s="57">
        <v>0.33200000000000002</v>
      </c>
    </row>
    <row r="16" spans="1:26" x14ac:dyDescent="0.2">
      <c r="A16" s="70">
        <v>44683</v>
      </c>
      <c r="B16" s="57">
        <v>2369</v>
      </c>
      <c r="C16" s="57" t="s">
        <v>160</v>
      </c>
      <c r="D16" s="57">
        <v>0.14399999999999999</v>
      </c>
      <c r="E16" s="57">
        <v>0.35899999999999999</v>
      </c>
    </row>
    <row r="17" spans="1:5" x14ac:dyDescent="0.2">
      <c r="A17" s="70">
        <v>44683</v>
      </c>
      <c r="B17" s="57">
        <v>2346</v>
      </c>
      <c r="C17" s="57" t="s">
        <v>161</v>
      </c>
      <c r="D17" s="57">
        <v>0.158</v>
      </c>
      <c r="E17" s="57">
        <v>0.504</v>
      </c>
    </row>
    <row r="18" spans="1:5" x14ac:dyDescent="0.2">
      <c r="A18" s="70">
        <v>44684</v>
      </c>
      <c r="B18" s="57">
        <v>2347</v>
      </c>
      <c r="C18" s="57" t="s">
        <v>160</v>
      </c>
      <c r="D18" s="57">
        <v>0.28100000000000003</v>
      </c>
      <c r="E18" s="57">
        <v>0.70799999999999996</v>
      </c>
    </row>
    <row r="19" spans="1:5" x14ac:dyDescent="0.2">
      <c r="A19" s="70">
        <v>44684</v>
      </c>
      <c r="B19" s="57">
        <v>2009</v>
      </c>
      <c r="C19" s="57" t="s">
        <v>161</v>
      </c>
      <c r="D19" s="57">
        <v>0.247</v>
      </c>
      <c r="E19" s="57">
        <v>0.68400000000000005</v>
      </c>
    </row>
    <row r="20" spans="1:5" x14ac:dyDescent="0.2">
      <c r="A20" s="70">
        <v>44684</v>
      </c>
      <c r="B20" s="57">
        <v>2369</v>
      </c>
      <c r="C20" s="57" t="s">
        <v>161</v>
      </c>
      <c r="D20" s="57">
        <v>0.29499999999999998</v>
      </c>
      <c r="E20" s="57">
        <v>0.78800000000000003</v>
      </c>
    </row>
    <row r="21" spans="1:5" x14ac:dyDescent="0.2">
      <c r="A21" s="70">
        <v>44684</v>
      </c>
      <c r="B21" s="57">
        <v>2347</v>
      </c>
      <c r="C21" s="57" t="s">
        <v>161</v>
      </c>
      <c r="D21" s="57">
        <v>0.10199999999999999</v>
      </c>
      <c r="E21" s="57">
        <v>0.45</v>
      </c>
    </row>
    <row r="22" spans="1:5" x14ac:dyDescent="0.2">
      <c r="A22" s="70">
        <v>44684</v>
      </c>
      <c r="B22" s="57">
        <v>2381</v>
      </c>
      <c r="C22" s="57" t="s">
        <v>161</v>
      </c>
      <c r="D22" s="57">
        <v>9.0999999999999998E-2</v>
      </c>
      <c r="E22" s="57">
        <v>0.68200000000000005</v>
      </c>
    </row>
    <row r="23" spans="1:5" x14ac:dyDescent="0.2">
      <c r="A23" s="70">
        <v>44684</v>
      </c>
      <c r="B23" s="57">
        <v>2346</v>
      </c>
      <c r="C23" s="57" t="s">
        <v>160</v>
      </c>
      <c r="D23" s="57">
        <v>0.10100000000000001</v>
      </c>
      <c r="E23" s="57">
        <v>0.22600000000000001</v>
      </c>
    </row>
    <row r="24" spans="1:5" x14ac:dyDescent="0.2">
      <c r="A24" s="70">
        <v>44684</v>
      </c>
      <c r="B24" s="57">
        <v>2367</v>
      </c>
      <c r="C24" s="57" t="s">
        <v>161</v>
      </c>
      <c r="D24" s="57">
        <v>4.5999999999999999E-2</v>
      </c>
      <c r="E24" s="57">
        <v>0.22600000000000001</v>
      </c>
    </row>
    <row r="25" spans="1:5" x14ac:dyDescent="0.2">
      <c r="A25" s="70">
        <v>44684</v>
      </c>
      <c r="B25" s="57">
        <v>2381</v>
      </c>
      <c r="C25" s="57" t="s">
        <v>160</v>
      </c>
      <c r="D25" s="57">
        <v>0.78400000000000003</v>
      </c>
      <c r="E25" s="57">
        <v>0.53500000000000003</v>
      </c>
    </row>
    <row r="26" spans="1:5" x14ac:dyDescent="0.2">
      <c r="A26" s="70">
        <v>44684</v>
      </c>
      <c r="B26" s="57">
        <v>2367</v>
      </c>
      <c r="C26" s="57" t="s">
        <v>160</v>
      </c>
      <c r="D26" s="57">
        <v>0.10100000000000001</v>
      </c>
      <c r="E26" s="57">
        <v>0.44500000000000001</v>
      </c>
    </row>
    <row r="27" spans="1:5" x14ac:dyDescent="0.2">
      <c r="A27" s="70">
        <v>44684</v>
      </c>
      <c r="B27" s="57">
        <v>2343</v>
      </c>
      <c r="C27" s="57" t="s">
        <v>160</v>
      </c>
      <c r="D27" s="57">
        <v>9.8000000000000004E-2</v>
      </c>
      <c r="E27" s="57">
        <v>0.68200000000000005</v>
      </c>
    </row>
    <row r="28" spans="1:5" x14ac:dyDescent="0.2">
      <c r="A28" s="70">
        <v>44684</v>
      </c>
      <c r="B28" s="57">
        <v>2365</v>
      </c>
      <c r="C28" s="57" t="s">
        <v>160</v>
      </c>
      <c r="D28" s="33">
        <f>0.045+0.058</f>
        <v>0.10300000000000001</v>
      </c>
      <c r="E28" s="57">
        <v>0.45</v>
      </c>
    </row>
    <row r="29" spans="1:5" x14ac:dyDescent="0.2">
      <c r="A29" s="70">
        <v>44684</v>
      </c>
      <c r="B29" s="57">
        <v>2384</v>
      </c>
      <c r="C29" s="57" t="s">
        <v>160</v>
      </c>
      <c r="D29" s="33">
        <f>0.034+0.008</f>
        <v>4.2000000000000003E-2</v>
      </c>
      <c r="E29" s="57">
        <v>0.183</v>
      </c>
    </row>
    <row r="30" spans="1:5" x14ac:dyDescent="0.2">
      <c r="A30" s="70">
        <v>44684</v>
      </c>
      <c r="B30" s="57">
        <v>2010</v>
      </c>
      <c r="C30" s="57" t="s">
        <v>160</v>
      </c>
      <c r="D30" s="33">
        <f>0.035+0.035</f>
        <v>7.0000000000000007E-2</v>
      </c>
      <c r="E30" s="57">
        <v>0.40500000000000003</v>
      </c>
    </row>
    <row r="31" spans="1:5" x14ac:dyDescent="0.2">
      <c r="A31" s="70">
        <v>44684</v>
      </c>
      <c r="B31" s="57">
        <v>2360</v>
      </c>
      <c r="C31" s="57" t="s">
        <v>160</v>
      </c>
      <c r="D31" s="57">
        <v>8.3000000000000004E-2</v>
      </c>
      <c r="E31" s="57">
        <v>0.57599999999999996</v>
      </c>
    </row>
    <row r="32" spans="1:5" x14ac:dyDescent="0.2">
      <c r="A32" s="70">
        <v>44684</v>
      </c>
      <c r="B32" s="57">
        <v>2365</v>
      </c>
      <c r="C32" s="57" t="s">
        <v>161</v>
      </c>
      <c r="D32" s="33">
        <f>0.043+0.042</f>
        <v>8.4999999999999992E-2</v>
      </c>
      <c r="E32" s="57">
        <v>0.36199999999999999</v>
      </c>
    </row>
    <row r="33" spans="1:5" x14ac:dyDescent="0.2">
      <c r="A33" s="70">
        <v>44684</v>
      </c>
      <c r="B33" s="57">
        <v>2360</v>
      </c>
      <c r="C33" s="57" t="s">
        <v>161</v>
      </c>
      <c r="D33" s="33">
        <f>0.049+0.053</f>
        <v>0.10200000000000001</v>
      </c>
      <c r="E33" s="57">
        <v>0.34799999999999998</v>
      </c>
    </row>
    <row r="34" spans="1:5" x14ac:dyDescent="0.2">
      <c r="A34" s="70">
        <v>44684</v>
      </c>
      <c r="B34" s="57">
        <v>2382</v>
      </c>
      <c r="C34" s="57" t="s">
        <v>160</v>
      </c>
      <c r="D34" s="33">
        <f>0.074+0.044</f>
        <v>0.11799999999999999</v>
      </c>
      <c r="E34" s="57">
        <v>0.755</v>
      </c>
    </row>
    <row r="35" spans="1:5" x14ac:dyDescent="0.2">
      <c r="A35" s="70">
        <v>44706</v>
      </c>
      <c r="B35" s="57">
        <v>2347</v>
      </c>
      <c r="C35" s="57" t="s">
        <v>160</v>
      </c>
      <c r="D35" s="57">
        <v>0.36</v>
      </c>
      <c r="E35" s="57">
        <v>0.878</v>
      </c>
    </row>
    <row r="36" spans="1:5" x14ac:dyDescent="0.2">
      <c r="A36" s="70">
        <v>44706</v>
      </c>
      <c r="B36" s="57">
        <v>2354</v>
      </c>
      <c r="C36" s="57" t="s">
        <v>160</v>
      </c>
      <c r="D36" s="57">
        <v>0.107</v>
      </c>
      <c r="E36" s="57">
        <v>0.58899999999999997</v>
      </c>
    </row>
    <row r="37" spans="1:5" x14ac:dyDescent="0.2">
      <c r="A37" s="70">
        <v>44706</v>
      </c>
      <c r="B37" s="57">
        <v>2369</v>
      </c>
      <c r="C37" s="57" t="s">
        <v>160</v>
      </c>
      <c r="D37" s="57">
        <v>0.26</v>
      </c>
      <c r="E37" s="57">
        <v>0.997</v>
      </c>
    </row>
    <row r="38" spans="1:5" x14ac:dyDescent="0.2">
      <c r="A38" s="70">
        <v>44706</v>
      </c>
      <c r="B38" s="57">
        <v>2365</v>
      </c>
      <c r="C38" s="57" t="s">
        <v>160</v>
      </c>
      <c r="D38" s="57">
        <v>0.28799999999999998</v>
      </c>
      <c r="E38" s="57">
        <v>0.69</v>
      </c>
    </row>
    <row r="39" spans="1:5" x14ac:dyDescent="0.2">
      <c r="A39" s="70">
        <v>44706</v>
      </c>
      <c r="B39" s="57">
        <v>2343</v>
      </c>
      <c r="C39" s="57" t="s">
        <v>160</v>
      </c>
      <c r="D39" s="57">
        <v>0.39600000000000002</v>
      </c>
      <c r="E39" s="57">
        <v>1.0429999999999999</v>
      </c>
    </row>
    <row r="40" spans="1:5" x14ac:dyDescent="0.2">
      <c r="A40" s="70">
        <v>44706</v>
      </c>
      <c r="B40" s="57">
        <v>2380</v>
      </c>
      <c r="C40" s="57" t="s">
        <v>160</v>
      </c>
      <c r="D40" s="57">
        <v>0.40799999999999997</v>
      </c>
      <c r="E40" s="57">
        <v>1.9079999999999999</v>
      </c>
    </row>
    <row r="41" spans="1:5" x14ac:dyDescent="0.2">
      <c r="A41" s="70">
        <v>44706</v>
      </c>
      <c r="B41" s="57">
        <v>2376</v>
      </c>
      <c r="C41" s="57" t="s">
        <v>160</v>
      </c>
      <c r="D41" s="57">
        <v>0.18</v>
      </c>
      <c r="E41" s="57">
        <v>0.88500000000000001</v>
      </c>
    </row>
    <row r="42" spans="1:5" x14ac:dyDescent="0.2">
      <c r="A42" s="70">
        <v>44706</v>
      </c>
      <c r="B42" s="57">
        <v>2352</v>
      </c>
      <c r="C42" s="57" t="s">
        <v>160</v>
      </c>
      <c r="D42" s="57">
        <v>0.14499999999999999</v>
      </c>
      <c r="E42" s="57">
        <v>0.61199999999999999</v>
      </c>
    </row>
    <row r="43" spans="1:5" x14ac:dyDescent="0.2">
      <c r="A43" s="70">
        <v>44706</v>
      </c>
      <c r="B43" s="57">
        <v>2346</v>
      </c>
      <c r="C43" s="57" t="s">
        <v>160</v>
      </c>
      <c r="D43" s="57">
        <v>0.20399999999999999</v>
      </c>
      <c r="E43" s="57">
        <v>0.317</v>
      </c>
    </row>
    <row r="44" spans="1:5" x14ac:dyDescent="0.2">
      <c r="A44" s="70">
        <v>44706</v>
      </c>
      <c r="B44" s="57">
        <v>2345</v>
      </c>
      <c r="C44" s="57" t="s">
        <v>160</v>
      </c>
      <c r="D44" s="57">
        <v>0.26500000000000001</v>
      </c>
      <c r="E44" s="57">
        <v>0.77400000000000002</v>
      </c>
    </row>
    <row r="45" spans="1:5" x14ac:dyDescent="0.2">
      <c r="A45" s="70">
        <v>44706</v>
      </c>
      <c r="B45" s="57">
        <v>2367</v>
      </c>
      <c r="C45" s="57" t="s">
        <v>160</v>
      </c>
      <c r="D45" s="57">
        <v>0.34300000000000003</v>
      </c>
      <c r="E45" s="57">
        <v>0.13600000000000001</v>
      </c>
    </row>
    <row r="46" spans="1:5" x14ac:dyDescent="0.2">
      <c r="A46" s="70">
        <v>44706</v>
      </c>
      <c r="B46" s="57">
        <v>2331</v>
      </c>
      <c r="C46" s="57" t="s">
        <v>160</v>
      </c>
      <c r="D46" s="57">
        <v>0.52300000000000002</v>
      </c>
      <c r="E46" s="57">
        <v>1.575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K312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2" width="11.3984375" customWidth="1"/>
  </cols>
  <sheetData>
    <row r="1" spans="1:63" x14ac:dyDescent="0.2">
      <c r="C1" s="74" t="s">
        <v>207</v>
      </c>
      <c r="D1" s="1"/>
      <c r="E1" s="1"/>
    </row>
    <row r="3" spans="1:63" x14ac:dyDescent="0.2">
      <c r="C3" s="12" t="s">
        <v>1</v>
      </c>
      <c r="D3" s="38" t="s">
        <v>208</v>
      </c>
      <c r="E3" s="12"/>
    </row>
    <row r="4" spans="1:63" x14ac:dyDescent="0.2">
      <c r="C4" s="12" t="s">
        <v>3</v>
      </c>
      <c r="D4" s="38" t="s">
        <v>209</v>
      </c>
    </row>
    <row r="6" spans="1:63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158</v>
      </c>
      <c r="I6" s="30" t="s">
        <v>210</v>
      </c>
      <c r="J6" s="30" t="s">
        <v>211</v>
      </c>
      <c r="K6" s="30" t="s">
        <v>212</v>
      </c>
      <c r="L6" s="30" t="s">
        <v>213</v>
      </c>
      <c r="M6" s="30" t="s">
        <v>214</v>
      </c>
      <c r="N6" s="30" t="s">
        <v>215</v>
      </c>
      <c r="O6" s="30" t="s">
        <v>216</v>
      </c>
      <c r="P6" s="30" t="s">
        <v>217</v>
      </c>
      <c r="Q6" s="30" t="s">
        <v>218</v>
      </c>
      <c r="R6" s="30" t="s">
        <v>219</v>
      </c>
      <c r="S6" s="30" t="s">
        <v>220</v>
      </c>
      <c r="T6" s="30" t="s">
        <v>221</v>
      </c>
      <c r="U6" s="30" t="s">
        <v>222</v>
      </c>
      <c r="V6" s="30" t="s">
        <v>223</v>
      </c>
      <c r="W6" s="30" t="s">
        <v>224</v>
      </c>
      <c r="X6" s="30" t="s">
        <v>225</v>
      </c>
      <c r="Y6" s="30" t="s">
        <v>226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30" t="s">
        <v>252</v>
      </c>
      <c r="AZ6" s="30" t="s">
        <v>253</v>
      </c>
      <c r="BA6" s="30" t="s">
        <v>254</v>
      </c>
      <c r="BB6" s="30" t="s">
        <v>255</v>
      </c>
      <c r="BC6" s="30" t="s">
        <v>256</v>
      </c>
      <c r="BD6" s="30" t="s">
        <v>257</v>
      </c>
      <c r="BE6" s="30" t="s">
        <v>258</v>
      </c>
      <c r="BF6" s="30" t="s">
        <v>259</v>
      </c>
      <c r="BG6" s="30" t="s">
        <v>260</v>
      </c>
      <c r="BH6" s="29" t="s">
        <v>26</v>
      </c>
      <c r="BI6" s="9"/>
      <c r="BJ6" s="9"/>
      <c r="BK6" s="9"/>
    </row>
    <row r="7" spans="1:63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</row>
    <row r="8" spans="1:63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</row>
    <row r="9" spans="1:63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</row>
    <row r="10" spans="1:63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  <c r="F10" s="57">
        <v>2</v>
      </c>
      <c r="G10" s="57">
        <v>1</v>
      </c>
      <c r="H10" s="70">
        <v>44610</v>
      </c>
    </row>
    <row r="11" spans="1:63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 spans="1:63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  <c r="F12" s="57">
        <v>3</v>
      </c>
      <c r="G12" s="57">
        <v>0</v>
      </c>
      <c r="H12" s="70">
        <v>44610</v>
      </c>
    </row>
    <row r="13" spans="1:63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  <c r="F13" s="57">
        <v>2</v>
      </c>
      <c r="G13" s="57">
        <v>3</v>
      </c>
      <c r="H13" s="70">
        <v>44610</v>
      </c>
    </row>
    <row r="14" spans="1:63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 spans="1:63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  <c r="F15" s="57">
        <v>1</v>
      </c>
      <c r="G15" s="57">
        <v>2</v>
      </c>
      <c r="H15" s="70">
        <v>44610</v>
      </c>
    </row>
    <row r="16" spans="1:63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  <c r="F16" s="57">
        <v>0</v>
      </c>
      <c r="G16" s="57">
        <v>2</v>
      </c>
      <c r="H16" s="70">
        <v>44610</v>
      </c>
    </row>
    <row r="17" spans="1:8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 spans="1:8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F18" s="57">
        <v>0</v>
      </c>
      <c r="G18" s="57">
        <v>5</v>
      </c>
      <c r="H18" s="70">
        <v>44610</v>
      </c>
    </row>
    <row r="19" spans="1:8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  <c r="F19" s="57">
        <v>3</v>
      </c>
      <c r="G19" s="57">
        <v>0</v>
      </c>
      <c r="H19" s="70">
        <v>44610</v>
      </c>
    </row>
    <row r="20" spans="1:8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 spans="1:8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  <c r="F21" s="57">
        <v>3</v>
      </c>
      <c r="G21" s="70">
        <v>44687</v>
      </c>
      <c r="H21" s="70">
        <v>44610</v>
      </c>
    </row>
    <row r="22" spans="1:8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  <c r="F22" s="57">
        <v>3</v>
      </c>
      <c r="G22" s="57">
        <v>0</v>
      </c>
      <c r="H22" s="70">
        <v>44610</v>
      </c>
    </row>
    <row r="23" spans="1:8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  <c r="F23" s="57">
        <v>3</v>
      </c>
      <c r="G23" s="57">
        <v>0</v>
      </c>
      <c r="H23" s="70">
        <v>44610</v>
      </c>
    </row>
    <row r="24" spans="1:8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F24" s="57">
        <v>3</v>
      </c>
      <c r="G24" s="57">
        <v>1</v>
      </c>
      <c r="H24" s="70">
        <v>44610</v>
      </c>
    </row>
    <row r="25" spans="1:8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  <c r="F25" s="57">
        <v>3</v>
      </c>
      <c r="G25" s="57">
        <v>0</v>
      </c>
      <c r="H25" s="70">
        <v>44610</v>
      </c>
    </row>
    <row r="26" spans="1:8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 spans="1:8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F27" s="57">
        <v>2</v>
      </c>
      <c r="G27" s="57">
        <v>0</v>
      </c>
      <c r="H27" s="70">
        <v>44610</v>
      </c>
    </row>
    <row r="28" spans="1:8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 spans="1:8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 spans="1:8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F30" s="57">
        <v>3</v>
      </c>
      <c r="G30" s="57">
        <v>0</v>
      </c>
      <c r="H30" s="70">
        <v>44610</v>
      </c>
    </row>
    <row r="31" spans="1:8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</row>
    <row r="32" spans="1:8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</row>
    <row r="33" spans="1:8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</row>
    <row r="34" spans="1:8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</row>
    <row r="35" spans="1:8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</row>
    <row r="36" spans="1:8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  <c r="F36" s="57">
        <v>0</v>
      </c>
      <c r="G36" s="57">
        <v>0</v>
      </c>
      <c r="H36" s="70">
        <v>44610</v>
      </c>
    </row>
    <row r="37" spans="1:8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  <c r="F37" s="57">
        <v>0</v>
      </c>
      <c r="G37" s="57">
        <v>0</v>
      </c>
      <c r="H37" s="70">
        <v>44610</v>
      </c>
    </row>
    <row r="38" spans="1:8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  <c r="F38" s="57">
        <v>1</v>
      </c>
      <c r="G38" s="57">
        <v>0</v>
      </c>
      <c r="H38" s="70">
        <v>44610</v>
      </c>
    </row>
    <row r="39" spans="1:8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  <c r="F39" s="57">
        <v>0</v>
      </c>
      <c r="G39" s="57">
        <v>0</v>
      </c>
      <c r="H39" s="70">
        <v>44610</v>
      </c>
    </row>
    <row r="40" spans="1:8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  <c r="F40" s="57">
        <v>0</v>
      </c>
      <c r="G40" s="57">
        <v>0</v>
      </c>
      <c r="H40" s="70">
        <v>44610</v>
      </c>
    </row>
    <row r="41" spans="1:8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  <c r="F41" s="57">
        <v>0</v>
      </c>
      <c r="G41" s="57">
        <v>0</v>
      </c>
      <c r="H41" s="70">
        <v>44610</v>
      </c>
    </row>
    <row r="42" spans="1:8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F42" s="57">
        <v>1</v>
      </c>
      <c r="G42" s="57">
        <v>0</v>
      </c>
      <c r="H42" s="70">
        <v>44610</v>
      </c>
    </row>
    <row r="43" spans="1:8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 spans="1:8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</row>
    <row r="45" spans="1:8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 spans="1:8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</row>
    <row r="47" spans="1:8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F47" s="57">
        <v>2</v>
      </c>
      <c r="G47" s="57">
        <v>0</v>
      </c>
      <c r="H47" s="70">
        <v>44610</v>
      </c>
    </row>
    <row r="48" spans="1:8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F48" s="57">
        <v>2</v>
      </c>
      <c r="G48" s="57">
        <v>0</v>
      </c>
      <c r="H48" s="70">
        <v>44610</v>
      </c>
    </row>
    <row r="49" spans="1:8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  <c r="F49" s="57">
        <v>1</v>
      </c>
      <c r="G49" s="57">
        <v>0</v>
      </c>
      <c r="H49" s="70">
        <v>44610</v>
      </c>
    </row>
    <row r="50" spans="1:8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  <c r="F50" s="57">
        <v>1</v>
      </c>
      <c r="G50" s="57">
        <v>0</v>
      </c>
      <c r="H50" s="70">
        <v>44610</v>
      </c>
    </row>
    <row r="51" spans="1:8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  <c r="F51" s="57">
        <v>1</v>
      </c>
      <c r="G51" s="57">
        <v>0</v>
      </c>
      <c r="H51" s="70">
        <v>44610</v>
      </c>
    </row>
    <row r="52" spans="1:8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  <c r="F52" s="57">
        <v>1</v>
      </c>
      <c r="G52" s="57">
        <v>0</v>
      </c>
      <c r="H52" s="70">
        <v>44610</v>
      </c>
    </row>
    <row r="53" spans="1:8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</row>
    <row r="54" spans="1:8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  <c r="F54" s="57">
        <v>1</v>
      </c>
      <c r="G54" s="57">
        <v>0</v>
      </c>
      <c r="H54" s="70">
        <v>44612</v>
      </c>
    </row>
    <row r="55" spans="1:8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  <c r="F55" s="57">
        <v>0</v>
      </c>
      <c r="G55" s="57">
        <v>0</v>
      </c>
      <c r="H55" s="70">
        <v>44612</v>
      </c>
    </row>
    <row r="56" spans="1:8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  <c r="F56" s="57">
        <v>0</v>
      </c>
      <c r="G56" s="57">
        <v>1</v>
      </c>
      <c r="H56" s="70">
        <v>44612</v>
      </c>
    </row>
    <row r="57" spans="1:8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  <c r="F57" s="57">
        <v>4</v>
      </c>
      <c r="G57" s="57">
        <v>0</v>
      </c>
      <c r="H57" s="70">
        <v>44612</v>
      </c>
    </row>
    <row r="58" spans="1:8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  <c r="F58" s="57">
        <v>1</v>
      </c>
      <c r="G58" s="57">
        <v>0</v>
      </c>
      <c r="H58" s="70">
        <v>44612</v>
      </c>
    </row>
    <row r="59" spans="1:8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</row>
    <row r="60" spans="1:8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</row>
    <row r="61" spans="1:8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  <c r="F61" s="57">
        <v>2</v>
      </c>
      <c r="G61" s="57">
        <v>0</v>
      </c>
      <c r="H61" s="70">
        <v>44612</v>
      </c>
    </row>
    <row r="62" spans="1:8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  <c r="F62" s="57">
        <v>1</v>
      </c>
      <c r="G62" s="57">
        <v>0</v>
      </c>
      <c r="H62" s="70">
        <v>44612</v>
      </c>
    </row>
    <row r="63" spans="1:8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  <c r="F63" s="57">
        <v>2</v>
      </c>
      <c r="G63" s="57">
        <v>0</v>
      </c>
      <c r="H63" s="70">
        <v>44612</v>
      </c>
    </row>
    <row r="64" spans="1:8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</row>
    <row r="65" spans="1:8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  <c r="F65" s="57">
        <v>1</v>
      </c>
      <c r="G65" s="57">
        <v>0</v>
      </c>
      <c r="H65" s="70">
        <v>44612</v>
      </c>
    </row>
    <row r="66" spans="1:8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</row>
    <row r="67" spans="1:8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</row>
    <row r="68" spans="1:8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  <c r="F68" s="57">
        <v>0</v>
      </c>
      <c r="G68" s="57">
        <v>0</v>
      </c>
      <c r="H68" s="70">
        <v>44612</v>
      </c>
    </row>
    <row r="69" spans="1:8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  <c r="F69" s="57">
        <v>1</v>
      </c>
      <c r="G69" s="57">
        <v>0</v>
      </c>
      <c r="H69" s="70">
        <v>44612</v>
      </c>
    </row>
    <row r="70" spans="1:8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  <c r="F70" s="57">
        <v>0</v>
      </c>
      <c r="G70" s="57">
        <v>1</v>
      </c>
      <c r="H70" s="70">
        <v>44612</v>
      </c>
    </row>
    <row r="71" spans="1:8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  <c r="F71" s="57">
        <v>0</v>
      </c>
      <c r="G71" s="57">
        <v>1</v>
      </c>
      <c r="H71" s="70">
        <v>44612</v>
      </c>
    </row>
    <row r="72" spans="1:8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</row>
    <row r="73" spans="1:8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  <c r="F73" s="57">
        <v>0</v>
      </c>
      <c r="G73" s="57">
        <v>0</v>
      </c>
      <c r="H73" s="70">
        <v>44612</v>
      </c>
    </row>
    <row r="74" spans="1:8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  <c r="F74" s="57">
        <v>3</v>
      </c>
      <c r="G74" s="57">
        <v>0</v>
      </c>
      <c r="H74" s="70">
        <v>44612</v>
      </c>
    </row>
    <row r="75" spans="1:8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</row>
    <row r="76" spans="1:8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  <c r="F76" s="57">
        <v>1</v>
      </c>
      <c r="G76" s="57">
        <v>0</v>
      </c>
      <c r="H76" s="70">
        <v>44612</v>
      </c>
    </row>
    <row r="77" spans="1:8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  <c r="F77" s="57">
        <v>1</v>
      </c>
      <c r="G77" s="57">
        <v>0</v>
      </c>
      <c r="H77" s="70">
        <v>44612</v>
      </c>
    </row>
    <row r="78" spans="1:8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  <c r="F78" s="57">
        <v>1</v>
      </c>
      <c r="G78" s="57">
        <v>0</v>
      </c>
      <c r="H78" s="70">
        <v>44612</v>
      </c>
    </row>
    <row r="79" spans="1:8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  <c r="F79" s="57">
        <v>0</v>
      </c>
      <c r="G79" s="57">
        <v>0</v>
      </c>
      <c r="H79" s="70">
        <v>44612</v>
      </c>
    </row>
    <row r="80" spans="1:8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  <c r="F80" s="57">
        <v>0</v>
      </c>
      <c r="G80" s="57">
        <v>0</v>
      </c>
      <c r="H80" s="70">
        <v>44612</v>
      </c>
    </row>
    <row r="81" spans="1:8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</row>
    <row r="82" spans="1:8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</row>
    <row r="83" spans="1:8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  <c r="F83" s="57">
        <v>0</v>
      </c>
      <c r="G83" s="57">
        <v>0</v>
      </c>
      <c r="H83" s="70">
        <v>44612</v>
      </c>
    </row>
    <row r="84" spans="1:8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  <c r="F84" s="57">
        <v>0</v>
      </c>
      <c r="G84" s="57">
        <v>0</v>
      </c>
      <c r="H84" s="70">
        <v>44612</v>
      </c>
    </row>
    <row r="85" spans="1:8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  <c r="F85" s="57">
        <v>0</v>
      </c>
      <c r="G85" s="57">
        <v>0</v>
      </c>
      <c r="H85" s="70">
        <v>44612</v>
      </c>
    </row>
    <row r="86" spans="1:8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  <c r="F86" s="57">
        <v>0</v>
      </c>
      <c r="G86" s="57">
        <v>1</v>
      </c>
      <c r="H86" s="70">
        <v>44612</v>
      </c>
    </row>
    <row r="87" spans="1:8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  <c r="F87" s="57">
        <v>1</v>
      </c>
      <c r="G87" s="57">
        <v>0</v>
      </c>
      <c r="H87" s="70">
        <v>44612</v>
      </c>
    </row>
    <row r="88" spans="1:8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  <c r="F88" s="57">
        <v>0</v>
      </c>
      <c r="G88" s="57">
        <v>0</v>
      </c>
      <c r="H88" s="70">
        <v>44612</v>
      </c>
    </row>
    <row r="89" spans="1:8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  <c r="F89" s="57">
        <v>3</v>
      </c>
      <c r="G89" s="57">
        <v>0</v>
      </c>
      <c r="H89" s="70">
        <v>44612</v>
      </c>
    </row>
    <row r="90" spans="1:8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  <c r="F90" s="57">
        <v>0</v>
      </c>
      <c r="G90" s="57">
        <v>0</v>
      </c>
      <c r="H90" s="70">
        <v>44612</v>
      </c>
    </row>
    <row r="91" spans="1:8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</row>
    <row r="92" spans="1:8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</row>
    <row r="93" spans="1:8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</row>
    <row r="94" spans="1:8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</row>
    <row r="95" spans="1:8" x14ac:dyDescent="0.2">
      <c r="A95" s="2"/>
      <c r="B95" s="76" t="s">
        <v>60</v>
      </c>
      <c r="C95" s="2" t="s">
        <v>112</v>
      </c>
      <c r="D95" s="3" t="s">
        <v>64</v>
      </c>
      <c r="E95" s="3"/>
    </row>
    <row r="96" spans="1:8" x14ac:dyDescent="0.2">
      <c r="A96" s="2"/>
      <c r="B96" s="76" t="s">
        <v>60</v>
      </c>
      <c r="C96" s="2" t="s">
        <v>112</v>
      </c>
      <c r="D96" s="3" t="s">
        <v>64</v>
      </c>
      <c r="E96" s="3"/>
    </row>
    <row r="97" spans="1:5" x14ac:dyDescent="0.2">
      <c r="A97" s="2"/>
      <c r="B97" s="76" t="s">
        <v>60</v>
      </c>
      <c r="C97" s="2" t="s">
        <v>112</v>
      </c>
      <c r="D97" s="3" t="s">
        <v>64</v>
      </c>
      <c r="E97" s="3"/>
    </row>
    <row r="98" spans="1:5" x14ac:dyDescent="0.2">
      <c r="A98" s="2"/>
      <c r="B98" s="76" t="s">
        <v>60</v>
      </c>
      <c r="C98" s="2" t="s">
        <v>112</v>
      </c>
      <c r="D98" s="3" t="s">
        <v>64</v>
      </c>
      <c r="E98" s="3"/>
    </row>
    <row r="99" spans="1:5" x14ac:dyDescent="0.2">
      <c r="A99" s="2"/>
      <c r="B99" s="76" t="s">
        <v>60</v>
      </c>
      <c r="C99" s="2" t="s">
        <v>112</v>
      </c>
      <c r="D99" s="3" t="s">
        <v>64</v>
      </c>
      <c r="E99" s="3"/>
    </row>
    <row r="100" spans="1:5" x14ac:dyDescent="0.2">
      <c r="A100" s="2"/>
      <c r="B100" s="76" t="s">
        <v>60</v>
      </c>
      <c r="C100" s="2" t="s">
        <v>113</v>
      </c>
      <c r="D100" s="3" t="s">
        <v>64</v>
      </c>
      <c r="E100" s="3"/>
    </row>
    <row r="101" spans="1:5" x14ac:dyDescent="0.2">
      <c r="A101" s="2"/>
      <c r="B101" s="76" t="s">
        <v>60</v>
      </c>
      <c r="C101" s="2" t="s">
        <v>113</v>
      </c>
      <c r="D101" s="3" t="s">
        <v>64</v>
      </c>
      <c r="E101" s="3"/>
    </row>
    <row r="102" spans="1:5" x14ac:dyDescent="0.2">
      <c r="A102" s="2"/>
      <c r="B102" s="76" t="s">
        <v>60</v>
      </c>
      <c r="C102" s="2" t="s">
        <v>113</v>
      </c>
      <c r="D102" s="3" t="s">
        <v>64</v>
      </c>
      <c r="E102" s="3"/>
    </row>
    <row r="103" spans="1:5" x14ac:dyDescent="0.2">
      <c r="A103" s="2"/>
      <c r="B103" s="76" t="s">
        <v>60</v>
      </c>
      <c r="C103" s="2" t="s">
        <v>113</v>
      </c>
      <c r="D103" s="3" t="s">
        <v>64</v>
      </c>
      <c r="E103" s="3"/>
    </row>
    <row r="104" spans="1:5" x14ac:dyDescent="0.2">
      <c r="A104" s="2"/>
      <c r="B104" s="76" t="s">
        <v>60</v>
      </c>
      <c r="C104" s="2" t="s">
        <v>113</v>
      </c>
      <c r="D104" s="3" t="s">
        <v>64</v>
      </c>
      <c r="E104" s="3"/>
    </row>
    <row r="105" spans="1:5" x14ac:dyDescent="0.2">
      <c r="A105" s="12"/>
      <c r="B105" s="76" t="s">
        <v>60</v>
      </c>
      <c r="C105" s="12" t="s">
        <v>114</v>
      </c>
      <c r="D105" s="12" t="s">
        <v>58</v>
      </c>
      <c r="E105" s="12"/>
    </row>
    <row r="106" spans="1:5" x14ac:dyDescent="0.2">
      <c r="A106" s="12"/>
      <c r="B106" s="76" t="s">
        <v>60</v>
      </c>
      <c r="C106" s="12" t="s">
        <v>114</v>
      </c>
      <c r="D106" s="12" t="s">
        <v>58</v>
      </c>
      <c r="E106" s="12"/>
    </row>
    <row r="107" spans="1:5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</row>
    <row r="108" spans="1:5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 spans="1:5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 spans="1:5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</row>
    <row r="111" spans="1:5" x14ac:dyDescent="0.2">
      <c r="A111" s="53" t="s">
        <v>114</v>
      </c>
      <c r="B111" s="76" t="s">
        <v>133</v>
      </c>
      <c r="C111" s="2" t="s">
        <v>117</v>
      </c>
      <c r="D111" s="54" t="s">
        <v>64</v>
      </c>
      <c r="E111" s="60">
        <v>2383</v>
      </c>
    </row>
    <row r="112" spans="1:5" x14ac:dyDescent="0.2">
      <c r="A112" s="53" t="s">
        <v>114</v>
      </c>
      <c r="B112" s="76" t="s">
        <v>133</v>
      </c>
      <c r="C112" s="2" t="s">
        <v>117</v>
      </c>
      <c r="D112" s="54" t="s">
        <v>64</v>
      </c>
      <c r="E112" s="57">
        <v>2384</v>
      </c>
    </row>
    <row r="113" spans="1:5" x14ac:dyDescent="0.2">
      <c r="A113" s="57" t="s">
        <v>134</v>
      </c>
      <c r="B113" s="76" t="s">
        <v>135</v>
      </c>
      <c r="C113" s="57" t="s">
        <v>134</v>
      </c>
      <c r="D113" s="54" t="s">
        <v>64</v>
      </c>
      <c r="E113" s="57">
        <v>2004</v>
      </c>
    </row>
    <row r="114" spans="1:5" x14ac:dyDescent="0.2">
      <c r="A114" s="57" t="s">
        <v>134</v>
      </c>
      <c r="B114" s="76" t="s">
        <v>135</v>
      </c>
      <c r="C114" s="57" t="s">
        <v>134</v>
      </c>
      <c r="D114" s="54" t="s">
        <v>64</v>
      </c>
      <c r="E114" s="57">
        <v>2005</v>
      </c>
    </row>
    <row r="115" spans="1:5" x14ac:dyDescent="0.2">
      <c r="A115" s="57" t="s">
        <v>134</v>
      </c>
      <c r="B115" s="76" t="s">
        <v>135</v>
      </c>
      <c r="C115" s="57" t="s">
        <v>134</v>
      </c>
      <c r="D115" s="54" t="s">
        <v>64</v>
      </c>
      <c r="E115" s="57">
        <v>2006</v>
      </c>
    </row>
    <row r="116" spans="1:5" x14ac:dyDescent="0.2">
      <c r="A116" s="57" t="s">
        <v>134</v>
      </c>
      <c r="B116" s="76" t="s">
        <v>135</v>
      </c>
      <c r="C116" s="57" t="s">
        <v>134</v>
      </c>
      <c r="D116" s="54" t="s">
        <v>64</v>
      </c>
      <c r="E116" s="57">
        <v>2007</v>
      </c>
    </row>
    <row r="117" spans="1:5" x14ac:dyDescent="0.2">
      <c r="A117" s="57" t="s">
        <v>114</v>
      </c>
      <c r="B117" s="76" t="s">
        <v>136</v>
      </c>
      <c r="C117" s="57" t="s">
        <v>261</v>
      </c>
      <c r="D117" s="54" t="s">
        <v>137</v>
      </c>
      <c r="E117" s="57" t="s">
        <v>138</v>
      </c>
    </row>
    <row r="118" spans="1:5" x14ac:dyDescent="0.2">
      <c r="A118" s="57" t="s">
        <v>139</v>
      </c>
      <c r="B118" s="76" t="s">
        <v>139</v>
      </c>
      <c r="C118" s="57" t="s">
        <v>139</v>
      </c>
      <c r="D118" s="54" t="s">
        <v>137</v>
      </c>
      <c r="E118" s="57" t="s">
        <v>140</v>
      </c>
    </row>
    <row r="119" spans="1:5" x14ac:dyDescent="0.2">
      <c r="A119" s="57" t="s">
        <v>134</v>
      </c>
      <c r="B119" s="76" t="s">
        <v>135</v>
      </c>
      <c r="C119" s="57" t="s">
        <v>134</v>
      </c>
      <c r="D119" s="54" t="s">
        <v>137</v>
      </c>
      <c r="E119" s="57" t="s">
        <v>141</v>
      </c>
    </row>
    <row r="120" spans="1:5" x14ac:dyDescent="0.2">
      <c r="A120" s="57" t="s">
        <v>114</v>
      </c>
      <c r="B120" s="76" t="s">
        <v>136</v>
      </c>
      <c r="C120" s="57" t="s">
        <v>261</v>
      </c>
      <c r="D120" s="54" t="s">
        <v>142</v>
      </c>
      <c r="E120" s="57" t="s">
        <v>143</v>
      </c>
    </row>
    <row r="121" spans="1:5" x14ac:dyDescent="0.2">
      <c r="A121" s="57" t="s">
        <v>139</v>
      </c>
      <c r="B121" s="76" t="s">
        <v>139</v>
      </c>
      <c r="C121" s="57" t="s">
        <v>139</v>
      </c>
      <c r="D121" s="54" t="s">
        <v>142</v>
      </c>
      <c r="E121" s="57" t="s">
        <v>144</v>
      </c>
    </row>
    <row r="122" spans="1:5" x14ac:dyDescent="0.2">
      <c r="A122" s="57" t="s">
        <v>134</v>
      </c>
      <c r="B122" s="76" t="s">
        <v>135</v>
      </c>
      <c r="C122" s="57" t="s">
        <v>134</v>
      </c>
      <c r="D122" s="54" t="s">
        <v>142</v>
      </c>
      <c r="E122" s="57" t="s">
        <v>145</v>
      </c>
    </row>
    <row r="123" spans="1:5" x14ac:dyDescent="0.2">
      <c r="A123" s="57" t="s">
        <v>127</v>
      </c>
      <c r="B123" s="76" t="s">
        <v>146</v>
      </c>
      <c r="C123" s="57" t="s">
        <v>262</v>
      </c>
      <c r="D123" s="54" t="s">
        <v>58</v>
      </c>
      <c r="E123" s="57">
        <v>2093</v>
      </c>
    </row>
    <row r="124" spans="1:5" x14ac:dyDescent="0.2">
      <c r="A124" s="57" t="s">
        <v>127</v>
      </c>
      <c r="B124" s="76" t="s">
        <v>146</v>
      </c>
      <c r="C124" s="57" t="s">
        <v>262</v>
      </c>
      <c r="D124" s="54" t="s">
        <v>58</v>
      </c>
      <c r="E124" s="57">
        <v>2092</v>
      </c>
    </row>
    <row r="125" spans="1:5" x14ac:dyDescent="0.2">
      <c r="A125" s="57" t="s">
        <v>127</v>
      </c>
      <c r="B125" s="76" t="s">
        <v>146</v>
      </c>
      <c r="C125" s="57" t="s">
        <v>262</v>
      </c>
      <c r="D125" s="54" t="s">
        <v>58</v>
      </c>
      <c r="E125" s="57">
        <v>2091</v>
      </c>
    </row>
    <row r="126" spans="1:5" x14ac:dyDescent="0.2">
      <c r="A126" s="57" t="s">
        <v>127</v>
      </c>
      <c r="B126" s="76" t="s">
        <v>146</v>
      </c>
      <c r="C126" s="57" t="s">
        <v>262</v>
      </c>
      <c r="D126" s="54" t="s">
        <v>64</v>
      </c>
      <c r="E126" s="57">
        <v>2090</v>
      </c>
    </row>
    <row r="127" spans="1:5" x14ac:dyDescent="0.2">
      <c r="A127" s="57" t="s">
        <v>127</v>
      </c>
      <c r="B127" s="76" t="s">
        <v>146</v>
      </c>
      <c r="C127" s="57" t="s">
        <v>262</v>
      </c>
      <c r="D127" s="54" t="s">
        <v>58</v>
      </c>
      <c r="E127" s="57">
        <v>2089</v>
      </c>
    </row>
    <row r="128" spans="1:5" x14ac:dyDescent="0.2">
      <c r="A128" s="57" t="s">
        <v>127</v>
      </c>
      <c r="B128" s="76" t="s">
        <v>146</v>
      </c>
      <c r="C128" s="57" t="s">
        <v>262</v>
      </c>
      <c r="D128" s="54" t="s">
        <v>64</v>
      </c>
      <c r="E128" s="57">
        <v>2088</v>
      </c>
    </row>
    <row r="129" spans="1:5" x14ac:dyDescent="0.2">
      <c r="A129" s="57" t="s">
        <v>127</v>
      </c>
      <c r="B129" s="76" t="s">
        <v>146</v>
      </c>
      <c r="C129" s="57" t="s">
        <v>262</v>
      </c>
      <c r="D129" s="54" t="s">
        <v>64</v>
      </c>
      <c r="E129" s="57">
        <v>2087</v>
      </c>
    </row>
    <row r="130" spans="1:5" x14ac:dyDescent="0.2">
      <c r="A130" s="57" t="s">
        <v>127</v>
      </c>
      <c r="B130" s="76" t="s">
        <v>146</v>
      </c>
      <c r="C130" s="57" t="s">
        <v>262</v>
      </c>
      <c r="D130" s="54" t="s">
        <v>64</v>
      </c>
      <c r="E130" s="57">
        <v>2086</v>
      </c>
    </row>
    <row r="131" spans="1:5" x14ac:dyDescent="0.2">
      <c r="A131" s="57" t="s">
        <v>127</v>
      </c>
      <c r="B131" s="76" t="s">
        <v>146</v>
      </c>
      <c r="C131" s="57" t="s">
        <v>262</v>
      </c>
      <c r="D131" s="54" t="s">
        <v>64</v>
      </c>
      <c r="E131" s="57">
        <v>2085</v>
      </c>
    </row>
    <row r="132" spans="1:5" x14ac:dyDescent="0.2">
      <c r="A132" s="57" t="s">
        <v>139</v>
      </c>
      <c r="B132" s="76" t="s">
        <v>139</v>
      </c>
      <c r="C132" s="57" t="s">
        <v>139</v>
      </c>
      <c r="D132" s="54" t="s">
        <v>64</v>
      </c>
      <c r="E132" s="57">
        <v>2020</v>
      </c>
    </row>
    <row r="133" spans="1:5" x14ac:dyDescent="0.2">
      <c r="A133" s="57" t="s">
        <v>139</v>
      </c>
      <c r="B133" s="76" t="s">
        <v>139</v>
      </c>
      <c r="C133" s="57" t="s">
        <v>139</v>
      </c>
      <c r="D133" s="54" t="s">
        <v>64</v>
      </c>
      <c r="E133" s="57">
        <v>2021</v>
      </c>
    </row>
    <row r="134" spans="1:5" x14ac:dyDescent="0.2">
      <c r="A134" s="57" t="s">
        <v>139</v>
      </c>
      <c r="B134" s="76" t="s">
        <v>139</v>
      </c>
      <c r="C134" s="57" t="s">
        <v>139</v>
      </c>
      <c r="D134" s="54" t="s">
        <v>58</v>
      </c>
      <c r="E134" s="57">
        <v>2022</v>
      </c>
    </row>
    <row r="135" spans="1:5" x14ac:dyDescent="0.2">
      <c r="A135" s="57" t="s">
        <v>139</v>
      </c>
      <c r="B135" s="76" t="s">
        <v>139</v>
      </c>
      <c r="C135" s="57" t="s">
        <v>139</v>
      </c>
      <c r="D135" s="54" t="s">
        <v>58</v>
      </c>
      <c r="E135" s="57">
        <v>2023</v>
      </c>
    </row>
    <row r="136" spans="1:5" x14ac:dyDescent="0.2">
      <c r="A136" s="57" t="s">
        <v>139</v>
      </c>
      <c r="B136" s="76" t="s">
        <v>139</v>
      </c>
      <c r="C136" s="57" t="s">
        <v>139</v>
      </c>
      <c r="D136" s="54" t="s">
        <v>64</v>
      </c>
      <c r="E136" s="57">
        <v>2024</v>
      </c>
    </row>
    <row r="137" spans="1:5" x14ac:dyDescent="0.2">
      <c r="A137" s="57" t="s">
        <v>139</v>
      </c>
      <c r="B137" s="76" t="s">
        <v>139</v>
      </c>
      <c r="C137" s="57" t="s">
        <v>139</v>
      </c>
      <c r="D137" s="54" t="s">
        <v>64</v>
      </c>
      <c r="E137" s="57">
        <v>2025</v>
      </c>
    </row>
    <row r="138" spans="1:5" x14ac:dyDescent="0.2">
      <c r="A138" s="57" t="s">
        <v>139</v>
      </c>
      <c r="B138" s="76" t="s">
        <v>147</v>
      </c>
      <c r="C138" s="57" t="s">
        <v>263</v>
      </c>
      <c r="D138" s="54" t="s">
        <v>64</v>
      </c>
      <c r="E138" s="57">
        <v>2026</v>
      </c>
    </row>
    <row r="139" spans="1:5" x14ac:dyDescent="0.2">
      <c r="A139" s="57" t="s">
        <v>139</v>
      </c>
      <c r="B139" s="76" t="s">
        <v>147</v>
      </c>
      <c r="C139" s="57" t="s">
        <v>263</v>
      </c>
      <c r="D139" s="54" t="s">
        <v>64</v>
      </c>
      <c r="E139" s="57">
        <v>2027</v>
      </c>
    </row>
    <row r="140" spans="1:5" x14ac:dyDescent="0.2">
      <c r="A140" s="57" t="s">
        <v>139</v>
      </c>
      <c r="B140" s="76" t="s">
        <v>147</v>
      </c>
      <c r="C140" s="57" t="s">
        <v>263</v>
      </c>
      <c r="D140" s="54" t="s">
        <v>64</v>
      </c>
      <c r="E140" s="57">
        <v>2028</v>
      </c>
    </row>
    <row r="141" spans="1:5" x14ac:dyDescent="0.2">
      <c r="A141" s="57" t="s">
        <v>139</v>
      </c>
      <c r="B141" s="76" t="s">
        <v>147</v>
      </c>
      <c r="C141" s="57" t="s">
        <v>263</v>
      </c>
      <c r="D141" s="54" t="s">
        <v>58</v>
      </c>
      <c r="E141" s="57">
        <v>2029</v>
      </c>
    </row>
    <row r="142" spans="1:5" x14ac:dyDescent="0.2">
      <c r="A142" s="57" t="s">
        <v>139</v>
      </c>
      <c r="B142" s="76" t="s">
        <v>147</v>
      </c>
      <c r="C142" s="57" t="s">
        <v>263</v>
      </c>
      <c r="D142" s="54" t="s">
        <v>58</v>
      </c>
      <c r="E142" s="57">
        <v>2030</v>
      </c>
    </row>
    <row r="143" spans="1:5" x14ac:dyDescent="0.2">
      <c r="A143" s="57" t="s">
        <v>139</v>
      </c>
      <c r="B143" s="76" t="s">
        <v>147</v>
      </c>
      <c r="C143" s="57" t="s">
        <v>263</v>
      </c>
      <c r="D143" s="54" t="s">
        <v>64</v>
      </c>
      <c r="E143" s="57">
        <v>2031</v>
      </c>
    </row>
    <row r="144" spans="1:5" x14ac:dyDescent="0.2">
      <c r="A144" s="57" t="s">
        <v>134</v>
      </c>
      <c r="B144" s="76" t="s">
        <v>146</v>
      </c>
      <c r="C144" s="57" t="s">
        <v>264</v>
      </c>
      <c r="D144" s="54" t="s">
        <v>64</v>
      </c>
      <c r="E144" s="57">
        <v>2012</v>
      </c>
    </row>
    <row r="145" spans="1:5" x14ac:dyDescent="0.2">
      <c r="A145" s="57" t="s">
        <v>134</v>
      </c>
      <c r="B145" s="76" t="s">
        <v>146</v>
      </c>
      <c r="C145" s="57" t="s">
        <v>264</v>
      </c>
      <c r="D145" s="54" t="s">
        <v>64</v>
      </c>
      <c r="E145" s="57">
        <v>2013</v>
      </c>
    </row>
    <row r="146" spans="1:5" x14ac:dyDescent="0.2">
      <c r="A146" s="57" t="s">
        <v>134</v>
      </c>
      <c r="B146" s="76" t="s">
        <v>146</v>
      </c>
      <c r="C146" s="57" t="s">
        <v>264</v>
      </c>
      <c r="D146" s="54" t="s">
        <v>64</v>
      </c>
      <c r="E146" s="57">
        <v>2014</v>
      </c>
    </row>
    <row r="147" spans="1:5" x14ac:dyDescent="0.2">
      <c r="A147" s="57" t="s">
        <v>134</v>
      </c>
      <c r="B147" s="76" t="s">
        <v>146</v>
      </c>
      <c r="C147" s="57" t="s">
        <v>264</v>
      </c>
      <c r="D147" s="54" t="s">
        <v>64</v>
      </c>
      <c r="E147" s="57">
        <v>2015</v>
      </c>
    </row>
    <row r="148" spans="1:5" x14ac:dyDescent="0.2">
      <c r="A148" s="57" t="s">
        <v>134</v>
      </c>
      <c r="B148" s="76" t="s">
        <v>146</v>
      </c>
      <c r="C148" s="57" t="s">
        <v>264</v>
      </c>
      <c r="D148" s="54" t="s">
        <v>64</v>
      </c>
      <c r="E148" s="57">
        <v>1478</v>
      </c>
    </row>
    <row r="149" spans="1:5" x14ac:dyDescent="0.2">
      <c r="A149" s="57" t="s">
        <v>114</v>
      </c>
      <c r="B149" s="76" t="s">
        <v>133</v>
      </c>
      <c r="D149" s="54" t="s">
        <v>64</v>
      </c>
      <c r="E149" s="57">
        <v>2011</v>
      </c>
    </row>
    <row r="150" spans="1:5" x14ac:dyDescent="0.2">
      <c r="A150" s="57" t="s">
        <v>114</v>
      </c>
      <c r="B150" s="76" t="s">
        <v>133</v>
      </c>
      <c r="C150" s="57" t="s">
        <v>265</v>
      </c>
      <c r="D150" s="54" t="s">
        <v>64</v>
      </c>
      <c r="E150" s="57">
        <v>2010</v>
      </c>
    </row>
    <row r="151" spans="1:5" x14ac:dyDescent="0.2">
      <c r="A151" s="57" t="s">
        <v>114</v>
      </c>
      <c r="B151" s="76" t="s">
        <v>131</v>
      </c>
      <c r="C151" s="57" t="s">
        <v>266</v>
      </c>
      <c r="D151" s="54" t="s">
        <v>64</v>
      </c>
      <c r="E151" s="57">
        <v>2009</v>
      </c>
    </row>
    <row r="152" spans="1:5" x14ac:dyDescent="0.2">
      <c r="A152" s="57" t="s">
        <v>134</v>
      </c>
      <c r="B152" s="76" t="s">
        <v>135</v>
      </c>
      <c r="D152" s="54" t="s">
        <v>64</v>
      </c>
      <c r="E152" s="57">
        <v>2008</v>
      </c>
    </row>
    <row r="153" spans="1:5" x14ac:dyDescent="0.2">
      <c r="D153" s="3"/>
    </row>
    <row r="154" spans="1:5" x14ac:dyDescent="0.2">
      <c r="D154" s="3"/>
    </row>
    <row r="155" spans="1:5" x14ac:dyDescent="0.2">
      <c r="D155" s="3"/>
    </row>
    <row r="156" spans="1:5" x14ac:dyDescent="0.2">
      <c r="D156" s="3"/>
    </row>
    <row r="157" spans="1:5" x14ac:dyDescent="0.2">
      <c r="D157" s="3"/>
    </row>
    <row r="158" spans="1:5" x14ac:dyDescent="0.2">
      <c r="D158" s="3"/>
    </row>
    <row r="159" spans="1:5" x14ac:dyDescent="0.2">
      <c r="D159" s="3"/>
    </row>
    <row r="160" spans="1:5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B983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4.3984375" defaultRowHeight="15" customHeight="1" x14ac:dyDescent="0.2"/>
  <cols>
    <col min="1" max="5" width="11.3984375" customWidth="1"/>
    <col min="6" max="8" width="14.3984375" hidden="1" customWidth="1"/>
    <col min="9" max="9" width="9.796875" customWidth="1"/>
    <col min="10" max="10" width="9.3984375" customWidth="1"/>
    <col min="11" max="11" width="8.19921875" customWidth="1"/>
    <col min="12" max="12" width="11.19921875" customWidth="1"/>
    <col min="13" max="13" width="10.19921875" customWidth="1"/>
    <col min="14" max="14" width="8.59765625" customWidth="1"/>
    <col min="15" max="15" width="10.796875" customWidth="1"/>
    <col min="16" max="16" width="11" customWidth="1"/>
    <col min="17" max="17" width="7.796875" customWidth="1"/>
    <col min="18" max="18" width="10.59765625" customWidth="1"/>
    <col min="19" max="19" width="11.19921875" customWidth="1"/>
    <col min="20" max="20" width="8.3984375" customWidth="1"/>
    <col min="21" max="21" width="11.19921875" customWidth="1"/>
    <col min="22" max="22" width="10.3984375" customWidth="1"/>
    <col min="23" max="23" width="8" customWidth="1"/>
    <col min="24" max="24" width="11.19921875" customWidth="1"/>
    <col min="25" max="25" width="10.796875" customWidth="1"/>
    <col min="26" max="26" width="7.19921875" customWidth="1"/>
    <col min="27" max="28" width="7" customWidth="1"/>
    <col min="29" max="29" width="8.796875" customWidth="1"/>
    <col min="30" max="30" width="7.3984375" customWidth="1"/>
    <col min="31" max="31" width="12" customWidth="1"/>
    <col min="32" max="32" width="10.796875" customWidth="1"/>
    <col min="33" max="33" width="7.19921875" customWidth="1"/>
    <col min="34" max="34" width="11.3984375" customWidth="1"/>
    <col min="35" max="35" width="11.59765625" customWidth="1"/>
    <col min="36" max="36" width="7.3984375" customWidth="1"/>
    <col min="37" max="37" width="11.19921875" customWidth="1"/>
    <col min="38" max="38" width="10.796875" customWidth="1"/>
    <col min="39" max="39" width="7.59765625" customWidth="1"/>
    <col min="40" max="40" width="11.59765625" customWidth="1"/>
    <col min="41" max="41" width="12.19921875" customWidth="1"/>
    <col min="42" max="42" width="6.796875" customWidth="1"/>
    <col min="43" max="43" width="11.3984375" customWidth="1"/>
    <col min="44" max="44" width="11.19921875" customWidth="1"/>
    <col min="45" max="45" width="7.19921875" customWidth="1"/>
    <col min="46" max="46" width="11.796875" customWidth="1"/>
    <col min="47" max="47" width="11.19921875" customWidth="1"/>
    <col min="48" max="48" width="6.59765625" customWidth="1"/>
    <col min="49" max="49" width="11.796875" customWidth="1"/>
    <col min="50" max="50" width="11.19921875" customWidth="1"/>
    <col min="51" max="53" width="10.19921875" customWidth="1"/>
    <col min="54" max="54" width="20.796875" customWidth="1"/>
  </cols>
  <sheetData>
    <row r="1" spans="1:54" ht="15.75" customHeight="1" x14ac:dyDescent="0.2">
      <c r="C1" s="74" t="s">
        <v>207</v>
      </c>
      <c r="D1" s="1"/>
      <c r="E1" s="1"/>
      <c r="F1" s="3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8"/>
    </row>
    <row r="2" spans="1:54" ht="8.25" customHeight="1" x14ac:dyDescent="0.2">
      <c r="F2" s="3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11"/>
    </row>
    <row r="3" spans="1:54" ht="15.75" customHeight="1" x14ac:dyDescent="0.2">
      <c r="C3" s="12" t="s">
        <v>1</v>
      </c>
      <c r="D3" s="38" t="s">
        <v>208</v>
      </c>
      <c r="E3" s="12"/>
      <c r="F3" s="3"/>
      <c r="I3" s="1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11"/>
    </row>
    <row r="4" spans="1:54" ht="15.75" customHeight="1" x14ac:dyDescent="0.2">
      <c r="C4" s="12" t="s">
        <v>3</v>
      </c>
      <c r="D4" s="77">
        <v>44620</v>
      </c>
      <c r="F4" s="3"/>
      <c r="I4" s="38" t="s">
        <v>267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11"/>
    </row>
    <row r="5" spans="1:54" ht="21.75" customHeight="1" x14ac:dyDescent="0.2">
      <c r="F5" s="3"/>
      <c r="I5" s="10" t="s">
        <v>5</v>
      </c>
      <c r="J5" s="9"/>
      <c r="K5" s="9" t="s">
        <v>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11" t="s">
        <v>7</v>
      </c>
    </row>
    <row r="6" spans="1:54" ht="15.75" customHeight="1" x14ac:dyDescent="0.2">
      <c r="A6" s="75" t="s">
        <v>128</v>
      </c>
      <c r="B6" s="76" t="s">
        <v>129</v>
      </c>
      <c r="C6" s="17" t="s">
        <v>11</v>
      </c>
      <c r="D6" s="18" t="s">
        <v>12</v>
      </c>
      <c r="E6" s="18" t="s">
        <v>13</v>
      </c>
      <c r="F6" s="27" t="s">
        <v>24</v>
      </c>
      <c r="G6" s="27" t="s">
        <v>25</v>
      </c>
      <c r="H6" s="28" t="s">
        <v>26</v>
      </c>
      <c r="I6" s="29" t="s">
        <v>31</v>
      </c>
      <c r="J6" s="29" t="s">
        <v>32</v>
      </c>
      <c r="K6" s="30" t="s">
        <v>210</v>
      </c>
      <c r="L6" s="30" t="s">
        <v>211</v>
      </c>
      <c r="M6" s="30" t="s">
        <v>212</v>
      </c>
      <c r="N6" s="30" t="s">
        <v>213</v>
      </c>
      <c r="O6" s="30" t="s">
        <v>214</v>
      </c>
      <c r="P6" s="30" t="s">
        <v>215</v>
      </c>
      <c r="Q6" s="30" t="s">
        <v>216</v>
      </c>
      <c r="R6" s="30" t="s">
        <v>217</v>
      </c>
      <c r="S6" s="30" t="s">
        <v>218</v>
      </c>
      <c r="T6" s="30" t="s">
        <v>219</v>
      </c>
      <c r="U6" s="30" t="s">
        <v>220</v>
      </c>
      <c r="V6" s="30" t="s">
        <v>221</v>
      </c>
      <c r="W6" s="30" t="s">
        <v>222</v>
      </c>
      <c r="X6" s="30" t="s">
        <v>223</v>
      </c>
      <c r="Y6" s="30" t="s">
        <v>224</v>
      </c>
      <c r="Z6" s="30" t="s">
        <v>225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29" t="s">
        <v>26</v>
      </c>
    </row>
    <row r="7" spans="1:54" ht="17.25" customHeight="1" x14ac:dyDescent="0.2">
      <c r="A7" s="38" t="s">
        <v>114</v>
      </c>
      <c r="B7" s="76" t="s">
        <v>130</v>
      </c>
      <c r="C7" s="12" t="s">
        <v>57</v>
      </c>
      <c r="D7" s="12" t="s">
        <v>58</v>
      </c>
      <c r="E7" s="12">
        <v>2352</v>
      </c>
      <c r="F7" s="32">
        <v>0.7</v>
      </c>
      <c r="G7" s="32">
        <v>0.5</v>
      </c>
      <c r="I7" s="10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C7" s="15" t="e">
        <f t="shared" ref="AC7:AC112" si="0">AVERAGE(K7,N7,Q7,T7,W7,Z7,AA7)</f>
        <v>#DIV/0!</v>
      </c>
      <c r="AD7" s="15">
        <v>2.4700000000000002</v>
      </c>
      <c r="AE7" s="15">
        <v>0.13400000000000001</v>
      </c>
      <c r="AF7" s="15">
        <v>8.8999999999999996E-2</v>
      </c>
      <c r="AG7" s="15">
        <v>2.5</v>
      </c>
      <c r="AH7" s="15">
        <v>0.11799999999999999</v>
      </c>
      <c r="AI7" s="15">
        <v>7.1999999999999995E-2</v>
      </c>
      <c r="AJ7" s="15">
        <v>1.96</v>
      </c>
      <c r="AK7" s="15">
        <v>0.106</v>
      </c>
      <c r="AL7" s="15">
        <v>6.5000000000000002E-2</v>
      </c>
      <c r="AM7" s="15">
        <v>2.04</v>
      </c>
      <c r="AN7" s="15">
        <v>0.13400000000000001</v>
      </c>
      <c r="AO7" s="15">
        <v>8.3000000000000004E-2</v>
      </c>
      <c r="AP7" s="15">
        <v>2.4</v>
      </c>
      <c r="AQ7" s="15">
        <v>0.114</v>
      </c>
      <c r="AR7" s="15">
        <v>7.1999999999999995E-2</v>
      </c>
      <c r="AS7" s="9"/>
      <c r="AT7" s="9"/>
      <c r="AU7" s="9"/>
      <c r="AV7" s="9"/>
      <c r="AW7" s="9"/>
      <c r="AX7" s="9"/>
      <c r="AY7" s="9"/>
      <c r="AZ7" s="9"/>
      <c r="BA7" s="9">
        <f t="shared" ref="BA7:BA112" si="1">AVERAGE(AD7,AG7,AJ7,AM7,AP7,AS7,AV7)</f>
        <v>2.274</v>
      </c>
      <c r="BB7" s="11"/>
    </row>
    <row r="8" spans="1:54" ht="18.75" customHeight="1" x14ac:dyDescent="0.2">
      <c r="A8" s="38" t="s">
        <v>114</v>
      </c>
      <c r="B8" s="76" t="s">
        <v>130</v>
      </c>
      <c r="C8" s="12" t="s">
        <v>57</v>
      </c>
      <c r="D8" s="12" t="s">
        <v>58</v>
      </c>
      <c r="E8" s="12">
        <v>2353</v>
      </c>
      <c r="F8" s="32">
        <v>0.6</v>
      </c>
      <c r="G8" s="32">
        <v>0.4</v>
      </c>
      <c r="I8" s="1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C8" s="15" t="e">
        <f t="shared" si="0"/>
        <v>#DIV/0!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 t="e">
        <f t="shared" si="1"/>
        <v>#DIV/0!</v>
      </c>
      <c r="BB8" s="11"/>
    </row>
    <row r="9" spans="1:54" ht="17.25" customHeight="1" x14ac:dyDescent="0.2">
      <c r="A9" s="38" t="s">
        <v>114</v>
      </c>
      <c r="B9" s="76" t="s">
        <v>130</v>
      </c>
      <c r="C9" s="12" t="s">
        <v>57</v>
      </c>
      <c r="D9" s="12" t="s">
        <v>58</v>
      </c>
      <c r="E9" s="34">
        <v>2354</v>
      </c>
      <c r="F9" s="32">
        <v>0.2</v>
      </c>
      <c r="G9" s="32">
        <v>0.4</v>
      </c>
      <c r="H9" s="9" t="s">
        <v>63</v>
      </c>
      <c r="I9" s="1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C9" s="15" t="e">
        <f t="shared" si="0"/>
        <v>#DIV/0!</v>
      </c>
      <c r="AD9" s="15">
        <v>1.78</v>
      </c>
      <c r="AE9" s="15">
        <v>0.26300000000000001</v>
      </c>
      <c r="AF9" s="15">
        <v>0.155</v>
      </c>
      <c r="AG9" s="15">
        <v>0.96199999999999997</v>
      </c>
      <c r="AH9" s="15">
        <v>0.23799999999999999</v>
      </c>
      <c r="AI9" s="15">
        <v>0.14000000000000001</v>
      </c>
      <c r="AJ9" s="15">
        <v>2.64</v>
      </c>
      <c r="AK9" s="15">
        <v>0.25800000000000001</v>
      </c>
      <c r="AL9" s="15">
        <v>0.156</v>
      </c>
      <c r="AM9" s="15">
        <v>1.92</v>
      </c>
      <c r="AN9" s="15">
        <v>0.189</v>
      </c>
      <c r="AO9" s="15">
        <v>0.115</v>
      </c>
      <c r="AP9" s="15">
        <v>1.54</v>
      </c>
      <c r="AQ9" s="15">
        <v>0.27</v>
      </c>
      <c r="AR9" s="15">
        <v>0.16500000000000001</v>
      </c>
      <c r="AS9" s="9"/>
      <c r="AT9" s="9"/>
      <c r="AU9" s="9"/>
      <c r="AV9" s="9"/>
      <c r="AW9" s="9"/>
      <c r="AX9" s="9"/>
      <c r="AY9" s="9"/>
      <c r="AZ9" s="9"/>
      <c r="BA9" s="9">
        <f t="shared" si="1"/>
        <v>1.7683999999999997</v>
      </c>
      <c r="BB9" s="11"/>
    </row>
    <row r="10" spans="1:54" ht="17.25" customHeight="1" x14ac:dyDescent="0.2">
      <c r="A10" s="38" t="s">
        <v>114</v>
      </c>
      <c r="B10" s="76" t="s">
        <v>130</v>
      </c>
      <c r="C10" s="12" t="s">
        <v>57</v>
      </c>
      <c r="D10" s="12" t="s">
        <v>64</v>
      </c>
      <c r="E10" s="12">
        <v>2355</v>
      </c>
      <c r="F10" s="32">
        <v>0.5</v>
      </c>
      <c r="G10" s="32">
        <v>0.6</v>
      </c>
      <c r="I10" s="14">
        <v>2</v>
      </c>
      <c r="J10" s="15">
        <v>2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C10" s="15" t="e">
        <f t="shared" si="0"/>
        <v>#DIV/0!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 t="e">
        <f t="shared" si="1"/>
        <v>#DIV/0!</v>
      </c>
      <c r="BB10" s="11"/>
    </row>
    <row r="11" spans="1:54" ht="17.25" customHeight="1" x14ac:dyDescent="0.2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F11" s="32">
        <v>0.7</v>
      </c>
      <c r="G11" s="32">
        <v>0.1</v>
      </c>
      <c r="H11" s="9" t="s">
        <v>66</v>
      </c>
      <c r="I11" s="10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C11" s="15" t="e">
        <f t="shared" si="0"/>
        <v>#DIV/0!</v>
      </c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 t="e">
        <f t="shared" si="1"/>
        <v>#DIV/0!</v>
      </c>
      <c r="BB11" s="11"/>
    </row>
    <row r="12" spans="1:54" ht="17.25" customHeight="1" x14ac:dyDescent="0.2">
      <c r="A12" s="38" t="s">
        <v>114</v>
      </c>
      <c r="B12" s="76" t="s">
        <v>130</v>
      </c>
      <c r="C12" s="12" t="s">
        <v>57</v>
      </c>
      <c r="D12" s="12" t="s">
        <v>64</v>
      </c>
      <c r="E12" s="12">
        <v>2356</v>
      </c>
      <c r="F12" s="32">
        <v>0.1</v>
      </c>
      <c r="G12" s="32">
        <v>0.05</v>
      </c>
      <c r="I12" s="14">
        <v>3</v>
      </c>
      <c r="J12" s="15">
        <v>2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C12" s="15" t="e">
        <f t="shared" si="0"/>
        <v>#DIV/0!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 t="e">
        <f t="shared" si="1"/>
        <v>#DIV/0!</v>
      </c>
      <c r="BB12" s="11"/>
    </row>
    <row r="13" spans="1:54" ht="17.25" customHeight="1" x14ac:dyDescent="0.2">
      <c r="A13" s="38" t="s">
        <v>114</v>
      </c>
      <c r="B13" s="76" t="s">
        <v>130</v>
      </c>
      <c r="C13" s="12" t="s">
        <v>57</v>
      </c>
      <c r="D13" s="12" t="s">
        <v>64</v>
      </c>
      <c r="E13" s="12">
        <v>2357</v>
      </c>
      <c r="F13" s="32">
        <v>0.2</v>
      </c>
      <c r="G13" s="32">
        <v>0.1</v>
      </c>
      <c r="H13" s="9" t="s">
        <v>67</v>
      </c>
      <c r="I13" s="14">
        <v>2</v>
      </c>
      <c r="J13" s="15">
        <v>4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C13" s="15" t="e">
        <f t="shared" si="0"/>
        <v>#DIV/0!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 t="e">
        <f t="shared" si="1"/>
        <v>#DIV/0!</v>
      </c>
      <c r="BB13" s="11"/>
    </row>
    <row r="14" spans="1:54" ht="17.25" customHeight="1" x14ac:dyDescent="0.2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F14" s="32">
        <v>0.8</v>
      </c>
      <c r="G14" s="32">
        <v>0.3</v>
      </c>
      <c r="H14" s="9" t="s">
        <v>68</v>
      </c>
      <c r="I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C14" s="15" t="e">
        <f t="shared" si="0"/>
        <v>#DIV/0!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 t="e">
        <f t="shared" si="1"/>
        <v>#DIV/0!</v>
      </c>
      <c r="BB14" s="11"/>
    </row>
    <row r="15" spans="1:54" ht="17.25" customHeight="1" x14ac:dyDescent="0.2">
      <c r="A15" s="38" t="s">
        <v>114</v>
      </c>
      <c r="B15" s="76" t="s">
        <v>130</v>
      </c>
      <c r="C15" s="12" t="s">
        <v>57</v>
      </c>
      <c r="D15" s="12" t="s">
        <v>64</v>
      </c>
      <c r="E15" s="12">
        <v>2358</v>
      </c>
      <c r="F15" s="32">
        <v>0.8</v>
      </c>
      <c r="G15" s="32">
        <v>0.3</v>
      </c>
      <c r="I15" s="14">
        <v>0</v>
      </c>
      <c r="J15" s="15">
        <v>3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C15" s="15" t="e">
        <f t="shared" si="0"/>
        <v>#DIV/0!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 t="e">
        <f t="shared" si="1"/>
        <v>#DIV/0!</v>
      </c>
      <c r="BB15" s="11"/>
    </row>
    <row r="16" spans="1:54" ht="17.25" customHeight="1" x14ac:dyDescent="0.2">
      <c r="A16" s="38" t="s">
        <v>114</v>
      </c>
      <c r="B16" s="76" t="s">
        <v>130</v>
      </c>
      <c r="C16" s="12" t="s">
        <v>57</v>
      </c>
      <c r="D16" s="12" t="s">
        <v>64</v>
      </c>
      <c r="E16" s="12">
        <v>2359</v>
      </c>
      <c r="F16" s="32">
        <v>0.8</v>
      </c>
      <c r="G16" s="32">
        <v>0.1</v>
      </c>
      <c r="H16" s="12"/>
      <c r="I16" s="14">
        <v>0</v>
      </c>
      <c r="J16" s="15">
        <v>3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C16" s="15" t="e">
        <f t="shared" si="0"/>
        <v>#DIV/0!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 t="e">
        <f t="shared" si="1"/>
        <v>#DIV/0!</v>
      </c>
      <c r="BB16" s="11"/>
    </row>
    <row r="17" spans="1:54" ht="17.25" customHeight="1" x14ac:dyDescent="0.2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F17" s="32">
        <v>0.6</v>
      </c>
      <c r="G17" s="32">
        <v>0.1</v>
      </c>
      <c r="H17" s="9" t="s">
        <v>66</v>
      </c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C17" s="15" t="e">
        <f t="shared" si="0"/>
        <v>#DIV/0!</v>
      </c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 t="e">
        <f t="shared" si="1"/>
        <v>#DIV/0!</v>
      </c>
      <c r="BB17" s="11"/>
    </row>
    <row r="18" spans="1:54" ht="17.25" customHeight="1" x14ac:dyDescent="0.2">
      <c r="A18" s="38" t="s">
        <v>114</v>
      </c>
      <c r="B18" s="76" t="s">
        <v>130</v>
      </c>
      <c r="C18" s="12" t="s">
        <v>57</v>
      </c>
      <c r="D18" s="12" t="s">
        <v>64</v>
      </c>
      <c r="E18" s="12">
        <v>2360</v>
      </c>
      <c r="F18" s="32">
        <v>0.7</v>
      </c>
      <c r="G18" s="32">
        <v>0.4</v>
      </c>
      <c r="I18" s="14">
        <v>0</v>
      </c>
      <c r="J18" s="15">
        <v>5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C18" s="15" t="e">
        <f t="shared" si="0"/>
        <v>#DIV/0!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 t="e">
        <f t="shared" si="1"/>
        <v>#DIV/0!</v>
      </c>
      <c r="BB18" s="11"/>
    </row>
    <row r="19" spans="1:54" ht="17.25" customHeight="1" x14ac:dyDescent="0.2">
      <c r="A19" s="38" t="s">
        <v>114</v>
      </c>
      <c r="B19" s="76" t="s">
        <v>130</v>
      </c>
      <c r="C19" s="12" t="s">
        <v>57</v>
      </c>
      <c r="D19" s="12" t="s">
        <v>64</v>
      </c>
      <c r="E19" s="12">
        <v>2361</v>
      </c>
      <c r="F19" s="32">
        <v>0.8</v>
      </c>
      <c r="G19" s="32">
        <v>0.1</v>
      </c>
      <c r="H19" s="12"/>
      <c r="I19" s="14">
        <v>1</v>
      </c>
      <c r="J19" s="15">
        <v>2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C19" s="15" t="e">
        <f t="shared" si="0"/>
        <v>#DIV/0!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 t="e">
        <f t="shared" si="1"/>
        <v>#DIV/0!</v>
      </c>
      <c r="BB19" s="11"/>
    </row>
    <row r="20" spans="1:54" ht="17.25" customHeight="1" x14ac:dyDescent="0.2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F20" s="32">
        <v>0.7</v>
      </c>
      <c r="G20" s="32">
        <v>0.4</v>
      </c>
      <c r="H20" s="9" t="s">
        <v>66</v>
      </c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C20" s="15" t="e">
        <f t="shared" si="0"/>
        <v>#DIV/0!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 t="e">
        <f t="shared" si="1"/>
        <v>#DIV/0!</v>
      </c>
      <c r="BB20" s="11"/>
    </row>
    <row r="21" spans="1:54" ht="17.25" customHeight="1" x14ac:dyDescent="0.2">
      <c r="A21" s="38" t="s">
        <v>114</v>
      </c>
      <c r="B21" s="76" t="s">
        <v>130</v>
      </c>
      <c r="C21" s="12" t="s">
        <v>57</v>
      </c>
      <c r="D21" s="12" t="s">
        <v>64</v>
      </c>
      <c r="E21" s="12">
        <v>2362</v>
      </c>
      <c r="F21" s="32">
        <v>0.7</v>
      </c>
      <c r="G21" s="32">
        <v>0.3</v>
      </c>
      <c r="H21" s="9" t="s">
        <v>69</v>
      </c>
      <c r="I21" s="14">
        <v>1</v>
      </c>
      <c r="J21" s="15">
        <v>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C21" s="15" t="e">
        <f t="shared" si="0"/>
        <v>#DIV/0!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 t="e">
        <f t="shared" si="1"/>
        <v>#DIV/0!</v>
      </c>
      <c r="BB21" s="11"/>
    </row>
    <row r="22" spans="1:54" ht="17.25" customHeight="1" x14ac:dyDescent="0.2">
      <c r="A22" s="38" t="s">
        <v>114</v>
      </c>
      <c r="B22" s="76" t="s">
        <v>130</v>
      </c>
      <c r="C22" s="12" t="s">
        <v>57</v>
      </c>
      <c r="D22" s="12" t="s">
        <v>64</v>
      </c>
      <c r="E22" s="12">
        <v>2363</v>
      </c>
      <c r="F22" s="32">
        <v>0.8</v>
      </c>
      <c r="G22" s="32">
        <v>0.3</v>
      </c>
      <c r="I22" s="14">
        <v>2</v>
      </c>
      <c r="J22" s="15">
        <v>2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C22" s="15" t="e">
        <f t="shared" si="0"/>
        <v>#DIV/0!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 t="e">
        <f t="shared" si="1"/>
        <v>#DIV/0!</v>
      </c>
      <c r="BB22" s="11"/>
    </row>
    <row r="23" spans="1:54" ht="17.25" customHeight="1" x14ac:dyDescent="0.2">
      <c r="A23" s="38" t="s">
        <v>114</v>
      </c>
      <c r="B23" s="76" t="s">
        <v>130</v>
      </c>
      <c r="C23" s="12" t="s">
        <v>57</v>
      </c>
      <c r="D23" s="12" t="s">
        <v>64</v>
      </c>
      <c r="E23" s="12">
        <v>2364</v>
      </c>
      <c r="F23" s="32">
        <v>0.6</v>
      </c>
      <c r="G23" s="32">
        <v>0.4</v>
      </c>
      <c r="I23" s="14">
        <v>2</v>
      </c>
      <c r="J23" s="15">
        <v>1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C23" s="15" t="e">
        <f t="shared" si="0"/>
        <v>#DIV/0!</v>
      </c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 t="e">
        <f t="shared" si="1"/>
        <v>#DIV/0!</v>
      </c>
      <c r="BB23" s="11"/>
    </row>
    <row r="24" spans="1:54" ht="17.25" customHeight="1" x14ac:dyDescent="0.2">
      <c r="A24" s="38" t="s">
        <v>114</v>
      </c>
      <c r="B24" s="76" t="s">
        <v>130</v>
      </c>
      <c r="C24" s="12" t="s">
        <v>57</v>
      </c>
      <c r="D24" s="12" t="s">
        <v>64</v>
      </c>
      <c r="E24" s="12">
        <v>2365</v>
      </c>
      <c r="F24" s="32">
        <v>0.8</v>
      </c>
      <c r="G24" s="32">
        <v>0.3</v>
      </c>
      <c r="I24" s="14">
        <v>1</v>
      </c>
      <c r="J24" s="15">
        <v>3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C24" s="15" t="e">
        <f t="shared" si="0"/>
        <v>#DIV/0!</v>
      </c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 t="e">
        <f t="shared" si="1"/>
        <v>#DIV/0!</v>
      </c>
      <c r="BB24" s="11"/>
    </row>
    <row r="25" spans="1:54" ht="17.25" customHeight="1" x14ac:dyDescent="0.2">
      <c r="A25" s="38" t="s">
        <v>114</v>
      </c>
      <c r="B25" s="76" t="s">
        <v>130</v>
      </c>
      <c r="C25" s="12" t="s">
        <v>57</v>
      </c>
      <c r="D25" s="12" t="s">
        <v>64</v>
      </c>
      <c r="E25" s="12">
        <v>2366</v>
      </c>
      <c r="F25" s="32">
        <v>0.7</v>
      </c>
      <c r="G25" s="32">
        <v>0.3</v>
      </c>
      <c r="I25" s="14">
        <v>1</v>
      </c>
      <c r="J25" s="15">
        <v>2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C25" s="15" t="e">
        <f t="shared" si="0"/>
        <v>#DIV/0!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 t="e">
        <f t="shared" si="1"/>
        <v>#DIV/0!</v>
      </c>
      <c r="BB25" s="11"/>
    </row>
    <row r="26" spans="1:54" ht="17.25" customHeight="1" x14ac:dyDescent="0.2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F26" s="32">
        <v>0.7</v>
      </c>
      <c r="G26" s="32">
        <v>0.4</v>
      </c>
      <c r="H26" s="9" t="s">
        <v>66</v>
      </c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C26" s="15" t="e">
        <f t="shared" si="0"/>
        <v>#DIV/0!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 t="e">
        <f t="shared" si="1"/>
        <v>#DIV/0!</v>
      </c>
      <c r="BB26" s="11"/>
    </row>
    <row r="27" spans="1:54" ht="17.25" customHeight="1" x14ac:dyDescent="0.2">
      <c r="A27" s="38" t="s">
        <v>114</v>
      </c>
      <c r="B27" s="76" t="s">
        <v>130</v>
      </c>
      <c r="C27" s="12" t="s">
        <v>57</v>
      </c>
      <c r="D27" s="12" t="s">
        <v>64</v>
      </c>
      <c r="E27" s="12">
        <v>2367</v>
      </c>
      <c r="F27" s="32">
        <v>0.5</v>
      </c>
      <c r="G27" s="32">
        <v>0.3</v>
      </c>
      <c r="I27" s="14">
        <v>1</v>
      </c>
      <c r="J27" s="15">
        <v>1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C27" s="15" t="e">
        <f t="shared" si="0"/>
        <v>#DIV/0!</v>
      </c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 t="e">
        <f t="shared" si="1"/>
        <v>#DIV/0!</v>
      </c>
      <c r="BB27" s="11"/>
    </row>
    <row r="28" spans="1:54" ht="17.25" customHeight="1" x14ac:dyDescent="0.2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F28" s="32">
        <v>0.7</v>
      </c>
      <c r="G28" s="32">
        <v>0.4</v>
      </c>
      <c r="H28" s="9" t="s">
        <v>66</v>
      </c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C28" s="15" t="e">
        <f t="shared" si="0"/>
        <v>#DIV/0!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 t="e">
        <f t="shared" si="1"/>
        <v>#DIV/0!</v>
      </c>
      <c r="BB28" s="11"/>
    </row>
    <row r="29" spans="1:54" ht="17.25" customHeight="1" x14ac:dyDescent="0.2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F29" s="32">
        <v>0.05</v>
      </c>
      <c r="G29" s="32">
        <v>0.1</v>
      </c>
      <c r="H29" s="9" t="s">
        <v>66</v>
      </c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C29" s="15" t="e">
        <f t="shared" si="0"/>
        <v>#DIV/0!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 t="e">
        <f t="shared" si="1"/>
        <v>#DIV/0!</v>
      </c>
      <c r="BB29" s="11"/>
    </row>
    <row r="30" spans="1:54" ht="17.25" customHeight="1" x14ac:dyDescent="0.2">
      <c r="A30" s="38" t="s">
        <v>114</v>
      </c>
      <c r="B30" s="76" t="s">
        <v>130</v>
      </c>
      <c r="C30" s="12" t="s">
        <v>57</v>
      </c>
      <c r="D30" s="12" t="s">
        <v>64</v>
      </c>
      <c r="E30" s="12">
        <v>2369</v>
      </c>
      <c r="F30" s="32">
        <v>0.5</v>
      </c>
      <c r="G30" s="32">
        <v>0.3</v>
      </c>
      <c r="I30" s="14">
        <v>2</v>
      </c>
      <c r="J30" s="15">
        <v>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C30" s="15" t="e">
        <f t="shared" si="0"/>
        <v>#DIV/0!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 t="e">
        <f t="shared" si="1"/>
        <v>#DIV/0!</v>
      </c>
      <c r="BB30" s="11"/>
    </row>
    <row r="31" spans="1:54" ht="17.25" customHeight="1" x14ac:dyDescent="0.2">
      <c r="A31" s="38" t="s">
        <v>114</v>
      </c>
      <c r="B31" s="76" t="s">
        <v>130</v>
      </c>
      <c r="C31" s="38" t="s">
        <v>70</v>
      </c>
      <c r="D31" s="38" t="s">
        <v>58</v>
      </c>
      <c r="E31" s="38">
        <v>2376</v>
      </c>
      <c r="F31" s="32"/>
      <c r="G31" s="32"/>
      <c r="I31" s="1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C31" s="15" t="e">
        <f t="shared" si="0"/>
        <v>#DIV/0!</v>
      </c>
      <c r="AD31" s="15">
        <v>2.19</v>
      </c>
      <c r="AE31" s="15">
        <v>0.20899999999999999</v>
      </c>
      <c r="AF31" s="15">
        <v>0.124</v>
      </c>
      <c r="AG31" s="15">
        <v>1.73</v>
      </c>
      <c r="AH31" s="15">
        <v>0.193</v>
      </c>
      <c r="AI31" s="15">
        <v>0.114</v>
      </c>
      <c r="AJ31" s="9">
        <f>AVERAGE(1.4,2)</f>
        <v>1.7</v>
      </c>
      <c r="AK31" s="15">
        <v>0.16500000000000001</v>
      </c>
      <c r="AL31" s="15">
        <v>9.8000000000000004E-2</v>
      </c>
      <c r="AM31" s="15">
        <v>1.65</v>
      </c>
      <c r="AN31" s="15">
        <v>0.156</v>
      </c>
      <c r="AO31" s="15">
        <v>9.0999999999999998E-2</v>
      </c>
      <c r="AP31" s="9">
        <f>AVERAGE(1.71,1.45)</f>
        <v>1.58</v>
      </c>
      <c r="AQ31" s="15">
        <v>0.312</v>
      </c>
      <c r="AR31" s="15">
        <v>0.184</v>
      </c>
      <c r="AS31" s="15">
        <v>1.3</v>
      </c>
      <c r="AT31" s="9"/>
      <c r="AU31" s="9"/>
      <c r="AV31" s="9"/>
      <c r="AW31" s="9"/>
      <c r="AX31" s="9"/>
      <c r="AY31" s="9"/>
      <c r="AZ31" s="9"/>
      <c r="BA31" s="9">
        <f t="shared" si="1"/>
        <v>1.6916666666666667</v>
      </c>
      <c r="BB31" s="16" t="s">
        <v>71</v>
      </c>
    </row>
    <row r="32" spans="1:54" ht="17.25" customHeight="1" x14ac:dyDescent="0.2">
      <c r="A32" s="38" t="s">
        <v>114</v>
      </c>
      <c r="B32" s="76" t="s">
        <v>130</v>
      </c>
      <c r="C32" s="38" t="s">
        <v>70</v>
      </c>
      <c r="D32" s="38" t="s">
        <v>58</v>
      </c>
      <c r="E32" s="38">
        <v>2377</v>
      </c>
      <c r="F32" s="32"/>
      <c r="G32" s="32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C32" s="15" t="e">
        <f t="shared" si="0"/>
        <v>#DIV/0!</v>
      </c>
      <c r="AD32" s="15">
        <v>2.1800000000000002</v>
      </c>
      <c r="AE32" s="15">
        <v>0.32100000000000001</v>
      </c>
      <c r="AF32" s="15">
        <v>0.19</v>
      </c>
      <c r="AG32" s="15">
        <v>2.71</v>
      </c>
      <c r="AH32" s="15">
        <v>0.23300000000000001</v>
      </c>
      <c r="AI32" s="15">
        <v>0.14099999999999999</v>
      </c>
      <c r="AJ32" s="15">
        <v>1.7</v>
      </c>
      <c r="AK32" s="15">
        <v>0.254</v>
      </c>
      <c r="AL32" s="15">
        <v>0.157</v>
      </c>
      <c r="AM32" s="15">
        <v>1.64</v>
      </c>
      <c r="AN32" s="15">
        <v>0.29399999999999998</v>
      </c>
      <c r="AO32" s="15">
        <v>0.16800000000000001</v>
      </c>
      <c r="AP32" s="15">
        <v>2.5099999999999998</v>
      </c>
      <c r="AQ32" s="15">
        <v>0.17599999999999999</v>
      </c>
      <c r="AR32" s="15">
        <v>0.105</v>
      </c>
      <c r="AS32" s="15">
        <v>2.1</v>
      </c>
      <c r="AT32" s="9"/>
      <c r="AU32" s="9"/>
      <c r="AV32" s="9"/>
      <c r="AW32" s="9"/>
      <c r="AX32" s="9"/>
      <c r="AY32" s="9"/>
      <c r="AZ32" s="9"/>
      <c r="BA32" s="9">
        <f t="shared" si="1"/>
        <v>2.14</v>
      </c>
      <c r="BB32" s="16" t="s">
        <v>72</v>
      </c>
    </row>
    <row r="33" spans="1:54" ht="17.25" customHeight="1" x14ac:dyDescent="0.2">
      <c r="A33" s="38" t="s">
        <v>114</v>
      </c>
      <c r="B33" s="76" t="s">
        <v>130</v>
      </c>
      <c r="C33" s="38" t="s">
        <v>70</v>
      </c>
      <c r="D33" s="38" t="s">
        <v>64</v>
      </c>
      <c r="E33" s="38">
        <v>2378</v>
      </c>
      <c r="F33" s="32"/>
      <c r="G33" s="32"/>
      <c r="I33" s="14">
        <v>0</v>
      </c>
      <c r="J33" s="15">
        <v>6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C33" s="15" t="e">
        <f t="shared" si="0"/>
        <v>#DIV/0!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 t="e">
        <f t="shared" si="1"/>
        <v>#DIV/0!</v>
      </c>
      <c r="BB33" s="16" t="s">
        <v>72</v>
      </c>
    </row>
    <row r="34" spans="1:54" ht="17.25" customHeight="1" x14ac:dyDescent="0.2">
      <c r="A34" s="38" t="s">
        <v>114</v>
      </c>
      <c r="B34" s="76" t="s">
        <v>130</v>
      </c>
      <c r="C34" s="38" t="s">
        <v>70</v>
      </c>
      <c r="D34" s="38" t="s">
        <v>64</v>
      </c>
      <c r="E34" s="38">
        <v>2379</v>
      </c>
      <c r="F34" s="32"/>
      <c r="G34" s="32"/>
      <c r="I34" s="14">
        <v>0</v>
      </c>
      <c r="J34" s="15">
        <v>7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C34" s="15" t="e">
        <f t="shared" si="0"/>
        <v>#DIV/0!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 t="e">
        <f t="shared" si="1"/>
        <v>#DIV/0!</v>
      </c>
      <c r="BB34" s="16" t="s">
        <v>72</v>
      </c>
    </row>
    <row r="35" spans="1:54" ht="17.25" customHeight="1" x14ac:dyDescent="0.2">
      <c r="A35" s="38" t="s">
        <v>114</v>
      </c>
      <c r="B35" s="76" t="s">
        <v>130</v>
      </c>
      <c r="C35" s="38" t="s">
        <v>70</v>
      </c>
      <c r="D35" s="38" t="s">
        <v>58</v>
      </c>
      <c r="E35" s="38">
        <v>2380</v>
      </c>
      <c r="F35" s="32"/>
      <c r="G35" s="32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C35" s="15" t="e">
        <f t="shared" si="0"/>
        <v>#DIV/0!</v>
      </c>
      <c r="AD35" s="15">
        <v>1.66</v>
      </c>
      <c r="AE35" s="15">
        <v>0.217</v>
      </c>
      <c r="AF35" s="15">
        <v>0.13100000000000001</v>
      </c>
      <c r="AG35" s="15">
        <v>1.65</v>
      </c>
      <c r="AH35" s="15">
        <v>0.16</v>
      </c>
      <c r="AI35" s="15">
        <v>9.7000000000000003E-2</v>
      </c>
      <c r="AJ35" s="15">
        <v>1.88</v>
      </c>
      <c r="AK35" s="15">
        <v>0.17399999999999999</v>
      </c>
      <c r="AL35" s="15">
        <v>0.105</v>
      </c>
      <c r="AM35" s="15">
        <v>2.27</v>
      </c>
      <c r="AN35" s="15">
        <v>0.221</v>
      </c>
      <c r="AO35" s="15">
        <v>0.13100000000000001</v>
      </c>
      <c r="AP35" s="9"/>
      <c r="AQ35" s="15">
        <v>0.23599999999999999</v>
      </c>
      <c r="AR35" s="15">
        <v>0.14499999999999999</v>
      </c>
      <c r="AS35" s="9"/>
      <c r="AT35" s="9"/>
      <c r="AU35" s="9"/>
      <c r="AV35" s="9"/>
      <c r="AW35" s="9"/>
      <c r="AX35" s="9"/>
      <c r="AY35" s="9"/>
      <c r="AZ35" s="9"/>
      <c r="BA35" s="9">
        <f t="shared" si="1"/>
        <v>1.8649999999999998</v>
      </c>
      <c r="BB35" s="11"/>
    </row>
    <row r="36" spans="1:54" ht="17.25" customHeight="1" x14ac:dyDescent="0.2">
      <c r="A36" s="38" t="s">
        <v>114</v>
      </c>
      <c r="B36" s="76" t="s">
        <v>131</v>
      </c>
      <c r="C36" s="12" t="s">
        <v>74</v>
      </c>
      <c r="D36" s="12" t="s">
        <v>64</v>
      </c>
      <c r="E36" s="12">
        <v>2337</v>
      </c>
      <c r="F36" s="32">
        <v>0.5</v>
      </c>
      <c r="G36" s="32">
        <v>0.5</v>
      </c>
      <c r="I36" s="1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C36" s="15" t="e">
        <f t="shared" si="0"/>
        <v>#DIV/0!</v>
      </c>
      <c r="AD36" s="9"/>
      <c r="AE36" s="15"/>
      <c r="AF36" s="15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 t="e">
        <f t="shared" si="1"/>
        <v>#DIV/0!</v>
      </c>
      <c r="BB36" s="11"/>
    </row>
    <row r="37" spans="1:54" ht="17.25" customHeight="1" x14ac:dyDescent="0.2">
      <c r="A37" s="38" t="s">
        <v>114</v>
      </c>
      <c r="B37" s="76" t="s">
        <v>131</v>
      </c>
      <c r="C37" s="12" t="s">
        <v>74</v>
      </c>
      <c r="D37" s="12" t="s">
        <v>64</v>
      </c>
      <c r="E37" s="12">
        <v>2338</v>
      </c>
      <c r="F37" s="32">
        <v>0.6</v>
      </c>
      <c r="G37" s="32">
        <v>0.3</v>
      </c>
      <c r="I37" s="1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C37" s="15" t="e">
        <f t="shared" si="0"/>
        <v>#DIV/0!</v>
      </c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 t="e">
        <f t="shared" si="1"/>
        <v>#DIV/0!</v>
      </c>
      <c r="BB37" s="11"/>
    </row>
    <row r="38" spans="1:54" ht="17.25" customHeight="1" x14ac:dyDescent="0.2">
      <c r="A38" s="38" t="s">
        <v>114</v>
      </c>
      <c r="B38" s="76" t="s">
        <v>131</v>
      </c>
      <c r="C38" s="12" t="s">
        <v>74</v>
      </c>
      <c r="D38" s="12" t="s">
        <v>64</v>
      </c>
      <c r="E38" s="12">
        <v>2339</v>
      </c>
      <c r="F38" s="32">
        <v>0.3</v>
      </c>
      <c r="G38" s="32">
        <v>0.4</v>
      </c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C38" s="15" t="e">
        <f t="shared" si="0"/>
        <v>#DIV/0!</v>
      </c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 t="e">
        <f t="shared" si="1"/>
        <v>#DIV/0!</v>
      </c>
      <c r="BB38" s="11"/>
    </row>
    <row r="39" spans="1:54" ht="17.25" customHeight="1" x14ac:dyDescent="0.2">
      <c r="A39" s="38" t="s">
        <v>114</v>
      </c>
      <c r="B39" s="76" t="s">
        <v>131</v>
      </c>
      <c r="C39" s="12" t="s">
        <v>74</v>
      </c>
      <c r="D39" s="12" t="s">
        <v>64</v>
      </c>
      <c r="E39" s="12">
        <v>2340</v>
      </c>
      <c r="F39" s="32">
        <v>0.7</v>
      </c>
      <c r="G39" s="32">
        <v>0.3</v>
      </c>
      <c r="H39" s="12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C39" s="15" t="e">
        <f t="shared" si="0"/>
        <v>#DIV/0!</v>
      </c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 t="e">
        <f t="shared" si="1"/>
        <v>#DIV/0!</v>
      </c>
      <c r="BB39" s="11"/>
    </row>
    <row r="40" spans="1:54" ht="17.25" customHeight="1" x14ac:dyDescent="0.2">
      <c r="A40" s="38" t="s">
        <v>114</v>
      </c>
      <c r="B40" s="76" t="s">
        <v>131</v>
      </c>
      <c r="C40" s="12" t="s">
        <v>74</v>
      </c>
      <c r="D40" s="12" t="s">
        <v>64</v>
      </c>
      <c r="E40" s="12">
        <v>2341</v>
      </c>
      <c r="F40" s="32">
        <v>0.5</v>
      </c>
      <c r="G40" s="32">
        <v>0.4</v>
      </c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C40" s="15" t="e">
        <f t="shared" si="0"/>
        <v>#DIV/0!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 t="e">
        <f t="shared" si="1"/>
        <v>#DIV/0!</v>
      </c>
      <c r="BB40" s="11"/>
    </row>
    <row r="41" spans="1:54" ht="17.25" customHeight="1" x14ac:dyDescent="0.2">
      <c r="A41" s="38" t="s">
        <v>114</v>
      </c>
      <c r="B41" s="76" t="s">
        <v>131</v>
      </c>
      <c r="C41" s="12" t="s">
        <v>74</v>
      </c>
      <c r="D41" s="12" t="s">
        <v>64</v>
      </c>
      <c r="E41" s="12">
        <v>2342</v>
      </c>
      <c r="F41" s="32">
        <v>0.5</v>
      </c>
      <c r="G41" s="32">
        <v>0.5</v>
      </c>
      <c r="H41" s="12" t="s">
        <v>76</v>
      </c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C41" s="15" t="e">
        <f t="shared" si="0"/>
        <v>#DIV/0!</v>
      </c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 t="e">
        <f t="shared" si="1"/>
        <v>#DIV/0!</v>
      </c>
      <c r="BB41" s="11"/>
    </row>
    <row r="42" spans="1:54" ht="17.25" customHeight="1" x14ac:dyDescent="0.2">
      <c r="A42" s="38" t="s">
        <v>114</v>
      </c>
      <c r="B42" s="76" t="s">
        <v>131</v>
      </c>
      <c r="C42" s="12" t="s">
        <v>74</v>
      </c>
      <c r="D42" s="12" t="s">
        <v>64</v>
      </c>
      <c r="E42" s="12">
        <v>2343</v>
      </c>
      <c r="F42" s="32">
        <v>0.5</v>
      </c>
      <c r="G42" s="32">
        <v>0.6</v>
      </c>
      <c r="I42" s="14">
        <v>1</v>
      </c>
      <c r="J42" s="15">
        <v>2</v>
      </c>
      <c r="K42" s="15">
        <v>1.2</v>
      </c>
      <c r="L42" s="15">
        <v>0.14599999999999999</v>
      </c>
      <c r="M42" s="15">
        <v>7.8E-2</v>
      </c>
      <c r="N42" s="15">
        <v>1.1000000000000001</v>
      </c>
      <c r="O42" s="15">
        <v>7.5999999999999998E-2</v>
      </c>
      <c r="P42" s="15">
        <v>4.2999999999999997E-2</v>
      </c>
      <c r="Q42" s="15">
        <v>1.1000000000000001</v>
      </c>
      <c r="R42" s="15">
        <v>8.5999999999999993E-2</v>
      </c>
      <c r="S42" s="15">
        <v>4.7E-2</v>
      </c>
      <c r="T42" s="9"/>
      <c r="U42" s="15">
        <v>7.1999999999999995E-2</v>
      </c>
      <c r="V42" s="15">
        <v>0.04</v>
      </c>
      <c r="W42" s="9"/>
      <c r="X42" s="15">
        <v>0.115</v>
      </c>
      <c r="Y42" s="15">
        <v>6.5000000000000002E-2</v>
      </c>
      <c r="Z42" s="9"/>
      <c r="AC42" s="15">
        <f t="shared" si="0"/>
        <v>1.1333333333333333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 t="e">
        <f t="shared" si="1"/>
        <v>#DIV/0!</v>
      </c>
      <c r="BB42" s="16" t="s">
        <v>77</v>
      </c>
    </row>
    <row r="43" spans="1:54" ht="17.25" customHeight="1" x14ac:dyDescent="0.2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F43" s="47">
        <v>0.3</v>
      </c>
      <c r="G43" s="47">
        <v>0.2</v>
      </c>
      <c r="H43" s="48" t="s">
        <v>79</v>
      </c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C43" s="15" t="e">
        <f t="shared" si="0"/>
        <v>#DIV/0!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 t="e">
        <f t="shared" si="1"/>
        <v>#DIV/0!</v>
      </c>
      <c r="BB43" s="11"/>
    </row>
    <row r="44" spans="1:54" ht="17.25" customHeight="1" x14ac:dyDescent="0.2">
      <c r="A44" s="38" t="s">
        <v>114</v>
      </c>
      <c r="B44" s="76" t="s">
        <v>131</v>
      </c>
      <c r="C44" s="12" t="s">
        <v>74</v>
      </c>
      <c r="D44" s="12" t="s">
        <v>64</v>
      </c>
      <c r="E44" s="12">
        <v>2344</v>
      </c>
      <c r="F44" s="32">
        <v>0.4</v>
      </c>
      <c r="G44" s="32">
        <v>0.5</v>
      </c>
      <c r="I44" s="10"/>
      <c r="J44" s="9"/>
      <c r="K44" s="15">
        <v>1.47</v>
      </c>
      <c r="L44" s="15"/>
      <c r="M44" s="15"/>
      <c r="N44" s="15">
        <v>1.65</v>
      </c>
      <c r="O44" s="15"/>
      <c r="P44" s="15"/>
      <c r="Q44" s="15">
        <v>1.47</v>
      </c>
      <c r="R44" s="15"/>
      <c r="S44" s="15"/>
      <c r="T44" s="15">
        <v>1.1399999999999999</v>
      </c>
      <c r="U44" s="15"/>
      <c r="V44" s="15"/>
      <c r="W44" s="15">
        <v>1.34</v>
      </c>
      <c r="X44" s="9"/>
      <c r="Y44" s="9"/>
      <c r="Z44" s="9"/>
      <c r="AC44" s="15">
        <f t="shared" si="0"/>
        <v>1.4139999999999999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 t="e">
        <f t="shared" si="1"/>
        <v>#DIV/0!</v>
      </c>
      <c r="BB44" s="11"/>
    </row>
    <row r="45" spans="1:54" ht="17.25" customHeight="1" x14ac:dyDescent="0.2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F45" s="47">
        <v>0.7</v>
      </c>
      <c r="G45" s="47">
        <v>0.4</v>
      </c>
      <c r="H45" s="41" t="s">
        <v>80</v>
      </c>
      <c r="I45" s="1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C45" s="15" t="e">
        <f t="shared" si="0"/>
        <v>#DIV/0!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 t="e">
        <f t="shared" si="1"/>
        <v>#DIV/0!</v>
      </c>
      <c r="BB45" s="11"/>
    </row>
    <row r="46" spans="1:54" ht="17.25" customHeight="1" x14ac:dyDescent="0.2">
      <c r="A46" s="38" t="s">
        <v>114</v>
      </c>
      <c r="B46" s="76" t="s">
        <v>131</v>
      </c>
      <c r="C46" s="12" t="s">
        <v>74</v>
      </c>
      <c r="D46" s="12" t="s">
        <v>58</v>
      </c>
      <c r="E46" s="34">
        <v>2345</v>
      </c>
      <c r="F46" s="32">
        <v>0.2</v>
      </c>
      <c r="G46" s="32">
        <v>0.2</v>
      </c>
      <c r="H46" s="9" t="s">
        <v>81</v>
      </c>
      <c r="I46" s="10"/>
      <c r="J46" s="9"/>
      <c r="K46" s="15">
        <v>0.56399999999999995</v>
      </c>
      <c r="L46" s="15"/>
      <c r="M46" s="15"/>
      <c r="N46" s="15">
        <v>0.62</v>
      </c>
      <c r="O46" s="15"/>
      <c r="P46" s="15"/>
      <c r="Q46" s="15">
        <v>0.45</v>
      </c>
      <c r="R46" s="15"/>
      <c r="S46" s="15"/>
      <c r="T46" s="15">
        <v>0.5</v>
      </c>
      <c r="U46" s="15"/>
      <c r="V46" s="15"/>
      <c r="W46" s="15"/>
      <c r="X46" s="15"/>
      <c r="Y46" s="15"/>
      <c r="Z46" s="15"/>
      <c r="AC46" s="15">
        <f t="shared" si="0"/>
        <v>0.53349999999999997</v>
      </c>
      <c r="AD46" s="15">
        <v>1.88</v>
      </c>
      <c r="AE46" s="15">
        <v>0.185</v>
      </c>
      <c r="AF46" s="15">
        <v>0.106</v>
      </c>
      <c r="AG46" s="15">
        <v>1.83</v>
      </c>
      <c r="AH46" s="15">
        <v>0.21099999999999999</v>
      </c>
      <c r="AI46" s="15">
        <v>0.122</v>
      </c>
      <c r="AJ46" s="15">
        <v>1.04</v>
      </c>
      <c r="AK46" s="15">
        <v>0.20599999999999999</v>
      </c>
      <c r="AL46" s="15">
        <v>0.11700000000000001</v>
      </c>
      <c r="AM46" s="15">
        <v>1.77</v>
      </c>
      <c r="AN46" s="15">
        <v>0.20100000000000001</v>
      </c>
      <c r="AO46" s="15">
        <v>0.11799999999999999</v>
      </c>
      <c r="AP46" s="9"/>
      <c r="AQ46" s="15">
        <v>0.20599999999999999</v>
      </c>
      <c r="AR46" s="15">
        <v>0.11899999999999999</v>
      </c>
      <c r="AS46" s="9"/>
      <c r="AT46" s="9"/>
      <c r="AU46" s="9"/>
      <c r="AV46" s="9"/>
      <c r="AW46" s="9"/>
      <c r="AX46" s="9"/>
      <c r="AY46" s="9"/>
      <c r="AZ46" s="9"/>
      <c r="BA46" s="9">
        <f t="shared" si="1"/>
        <v>1.63</v>
      </c>
      <c r="BB46" s="11"/>
    </row>
    <row r="47" spans="1:54" ht="17.25" customHeight="1" x14ac:dyDescent="0.2">
      <c r="A47" s="38" t="s">
        <v>114</v>
      </c>
      <c r="B47" s="76" t="s">
        <v>131</v>
      </c>
      <c r="C47" s="12" t="s">
        <v>74</v>
      </c>
      <c r="D47" s="12" t="s">
        <v>64</v>
      </c>
      <c r="E47" s="12">
        <v>2346</v>
      </c>
      <c r="F47" s="32">
        <v>0.7</v>
      </c>
      <c r="G47" s="32">
        <v>0.4</v>
      </c>
      <c r="I47" s="14">
        <v>3</v>
      </c>
      <c r="J47" s="15">
        <v>0</v>
      </c>
      <c r="K47" s="9">
        <f>AVERAGE(0.96,1.3)</f>
        <v>1.1299999999999999</v>
      </c>
      <c r="L47" s="9"/>
      <c r="M47" s="9"/>
      <c r="N47" s="9">
        <f>AVERAGE(0.78,1.09)</f>
        <v>0.93500000000000005</v>
      </c>
      <c r="O47" s="15"/>
      <c r="P47" s="15"/>
      <c r="Q47" s="15">
        <v>1.03</v>
      </c>
      <c r="R47" s="15"/>
      <c r="S47" s="15"/>
      <c r="T47" s="15">
        <v>0.94</v>
      </c>
      <c r="U47" s="9"/>
      <c r="V47" s="9"/>
      <c r="W47" s="9"/>
      <c r="X47" s="9"/>
      <c r="Y47" s="9"/>
      <c r="Z47" s="9"/>
      <c r="AC47" s="15">
        <f t="shared" si="0"/>
        <v>1.00875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 t="e">
        <f t="shared" si="1"/>
        <v>#DIV/0!</v>
      </c>
      <c r="BB47" s="16" t="s">
        <v>82</v>
      </c>
    </row>
    <row r="48" spans="1:54" ht="17.25" customHeight="1" x14ac:dyDescent="0.2">
      <c r="A48" s="38" t="s">
        <v>114</v>
      </c>
      <c r="B48" s="76" t="s">
        <v>131</v>
      </c>
      <c r="C48" s="12" t="s">
        <v>74</v>
      </c>
      <c r="D48" s="12" t="s">
        <v>64</v>
      </c>
      <c r="E48" s="12">
        <v>2347</v>
      </c>
      <c r="F48" s="32">
        <v>0.8</v>
      </c>
      <c r="G48" s="32">
        <v>0.2</v>
      </c>
      <c r="I48" s="14">
        <v>2</v>
      </c>
      <c r="J48" s="15">
        <v>0</v>
      </c>
      <c r="K48" s="9">
        <f>AVERAGE(1.12,1.8)</f>
        <v>1.46</v>
      </c>
      <c r="L48" s="9"/>
      <c r="M48" s="9"/>
      <c r="N48" s="9">
        <f>AVERAGE(1.19,1.6)</f>
        <v>1.395</v>
      </c>
      <c r="O48" s="15"/>
      <c r="P48" s="15"/>
      <c r="Q48" s="15">
        <v>3.1</v>
      </c>
      <c r="R48" s="9"/>
      <c r="S48" s="9"/>
      <c r="T48" s="9">
        <f>AVERAGE(1.03,1.9)</f>
        <v>1.4649999999999999</v>
      </c>
      <c r="U48" s="9"/>
      <c r="V48" s="9"/>
      <c r="W48" s="9">
        <f>AVERAGE(1.35,1.67)</f>
        <v>1.51</v>
      </c>
      <c r="X48" s="9"/>
      <c r="Y48" s="9"/>
      <c r="Z48" s="9"/>
      <c r="AC48" s="15">
        <f t="shared" si="0"/>
        <v>1.786</v>
      </c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 t="e">
        <f t="shared" si="1"/>
        <v>#DIV/0!</v>
      </c>
      <c r="BB48" s="16" t="s">
        <v>83</v>
      </c>
    </row>
    <row r="49" spans="1:54" ht="17.25" customHeight="1" x14ac:dyDescent="0.2">
      <c r="A49" s="38" t="s">
        <v>114</v>
      </c>
      <c r="B49" s="76" t="s">
        <v>131</v>
      </c>
      <c r="C49" s="12" t="s">
        <v>74</v>
      </c>
      <c r="D49" s="12" t="s">
        <v>64</v>
      </c>
      <c r="E49" s="12">
        <v>2348</v>
      </c>
      <c r="F49" s="32">
        <v>0.7</v>
      </c>
      <c r="G49" s="32">
        <v>0.2</v>
      </c>
      <c r="H49" s="9" t="s">
        <v>84</v>
      </c>
      <c r="I49" s="14">
        <v>1</v>
      </c>
      <c r="J49" s="15">
        <v>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C49" s="15" t="e">
        <f t="shared" si="0"/>
        <v>#DIV/0!</v>
      </c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 t="e">
        <f t="shared" si="1"/>
        <v>#DIV/0!</v>
      </c>
      <c r="BB49" s="11"/>
    </row>
    <row r="50" spans="1:54" ht="17.25" customHeight="1" x14ac:dyDescent="0.2">
      <c r="A50" s="38" t="s">
        <v>114</v>
      </c>
      <c r="B50" s="76" t="s">
        <v>131</v>
      </c>
      <c r="C50" s="12" t="s">
        <v>74</v>
      </c>
      <c r="D50" s="12" t="s">
        <v>64</v>
      </c>
      <c r="E50" s="12">
        <v>2349</v>
      </c>
      <c r="F50" s="32">
        <v>0.7</v>
      </c>
      <c r="G50" s="32">
        <v>0.2</v>
      </c>
      <c r="I50" s="14">
        <v>1</v>
      </c>
      <c r="J50" s="15">
        <v>0</v>
      </c>
      <c r="K50" s="15">
        <v>1.64</v>
      </c>
      <c r="L50" s="15"/>
      <c r="M50" s="15"/>
      <c r="N50" s="15">
        <v>1.6</v>
      </c>
      <c r="O50" s="15"/>
      <c r="P50" s="15"/>
      <c r="Q50" s="15">
        <v>2.2000000000000002</v>
      </c>
      <c r="R50" s="15"/>
      <c r="S50" s="15"/>
      <c r="T50" s="15">
        <v>1.85</v>
      </c>
      <c r="U50" s="15"/>
      <c r="V50" s="15"/>
      <c r="W50" s="15">
        <v>2.16</v>
      </c>
      <c r="X50" s="9"/>
      <c r="Y50" s="9"/>
      <c r="Z50" s="9"/>
      <c r="AC50" s="15">
        <f t="shared" si="0"/>
        <v>1.8900000000000001</v>
      </c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 t="e">
        <f t="shared" si="1"/>
        <v>#DIV/0!</v>
      </c>
      <c r="BB50" s="16" t="s">
        <v>85</v>
      </c>
    </row>
    <row r="51" spans="1:54" ht="17.25" customHeight="1" x14ac:dyDescent="0.2">
      <c r="A51" s="38" t="s">
        <v>114</v>
      </c>
      <c r="B51" s="76" t="s">
        <v>131</v>
      </c>
      <c r="C51" s="12" t="s">
        <v>74</v>
      </c>
      <c r="D51" s="12" t="s">
        <v>64</v>
      </c>
      <c r="E51" s="12">
        <v>2350</v>
      </c>
      <c r="F51" s="32">
        <v>0.2</v>
      </c>
      <c r="G51" s="12" t="s">
        <v>87</v>
      </c>
      <c r="H51" s="12"/>
      <c r="I51" s="14">
        <v>1</v>
      </c>
      <c r="J51" s="15">
        <v>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C51" s="15" t="e">
        <f t="shared" si="0"/>
        <v>#DIV/0!</v>
      </c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 t="e">
        <f t="shared" si="1"/>
        <v>#DIV/0!</v>
      </c>
      <c r="BB51" s="11"/>
    </row>
    <row r="52" spans="1:54" ht="17.25" customHeight="1" x14ac:dyDescent="0.2">
      <c r="A52" s="38" t="s">
        <v>114</v>
      </c>
      <c r="B52" s="76" t="s">
        <v>131</v>
      </c>
      <c r="C52" s="12" t="s">
        <v>74</v>
      </c>
      <c r="D52" s="12" t="s">
        <v>64</v>
      </c>
      <c r="E52" s="12">
        <v>2351</v>
      </c>
      <c r="F52" s="32">
        <v>0.05</v>
      </c>
      <c r="G52" s="12" t="s">
        <v>87</v>
      </c>
      <c r="H52" s="12"/>
      <c r="I52" s="14">
        <v>1</v>
      </c>
      <c r="J52" s="15">
        <v>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C52" s="15" t="e">
        <f t="shared" si="0"/>
        <v>#DIV/0!</v>
      </c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 t="e">
        <f t="shared" si="1"/>
        <v>#DIV/0!</v>
      </c>
      <c r="BB52" s="11"/>
    </row>
    <row r="53" spans="1:54" ht="15.75" customHeight="1" x14ac:dyDescent="0.2">
      <c r="A53" s="38" t="s">
        <v>114</v>
      </c>
      <c r="B53" s="76" t="s">
        <v>131</v>
      </c>
      <c r="C53" s="38" t="s">
        <v>88</v>
      </c>
      <c r="D53" s="38" t="s">
        <v>64</v>
      </c>
      <c r="E53" s="38">
        <v>2375</v>
      </c>
      <c r="F53" s="32"/>
      <c r="G53" s="32"/>
      <c r="I53" s="14">
        <v>1</v>
      </c>
      <c r="J53" s="15">
        <v>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C53" s="15" t="e">
        <f t="shared" si="0"/>
        <v>#DIV/0!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 t="e">
        <f t="shared" si="1"/>
        <v>#DIV/0!</v>
      </c>
      <c r="BB53" s="16" t="s">
        <v>89</v>
      </c>
    </row>
    <row r="54" spans="1:54" ht="15.75" customHeight="1" x14ac:dyDescent="0.2">
      <c r="A54" s="38" t="s">
        <v>114</v>
      </c>
      <c r="B54" s="76" t="s">
        <v>132</v>
      </c>
      <c r="C54" s="12" t="s">
        <v>90</v>
      </c>
      <c r="D54" s="12" t="s">
        <v>64</v>
      </c>
      <c r="E54" s="12">
        <v>2310</v>
      </c>
      <c r="F54" s="32">
        <v>0.5</v>
      </c>
      <c r="G54" s="32">
        <v>0.5</v>
      </c>
      <c r="I54" s="1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C54" s="15" t="e">
        <f t="shared" si="0"/>
        <v>#DIV/0!</v>
      </c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 t="e">
        <f t="shared" si="1"/>
        <v>#DIV/0!</v>
      </c>
      <c r="BB54" s="11"/>
    </row>
    <row r="55" spans="1:54" ht="17.25" customHeight="1" x14ac:dyDescent="0.2">
      <c r="A55" s="38" t="s">
        <v>114</v>
      </c>
      <c r="B55" s="76" t="s">
        <v>132</v>
      </c>
      <c r="C55" s="12" t="s">
        <v>90</v>
      </c>
      <c r="D55" s="12" t="s">
        <v>64</v>
      </c>
      <c r="E55" s="12">
        <v>2311</v>
      </c>
      <c r="F55" s="32">
        <v>0.7</v>
      </c>
      <c r="G55" s="32">
        <v>0.5</v>
      </c>
      <c r="I55" s="1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C55" s="15" t="e">
        <f t="shared" si="0"/>
        <v>#DIV/0!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 t="e">
        <f t="shared" si="1"/>
        <v>#DIV/0!</v>
      </c>
      <c r="BB55" s="11"/>
    </row>
    <row r="56" spans="1:54" ht="17.25" customHeight="1" x14ac:dyDescent="0.2">
      <c r="A56" s="38" t="s">
        <v>114</v>
      </c>
      <c r="B56" s="76" t="s">
        <v>132</v>
      </c>
      <c r="C56" s="12" t="s">
        <v>90</v>
      </c>
      <c r="D56" s="12" t="s">
        <v>64</v>
      </c>
      <c r="E56" s="12">
        <v>2312</v>
      </c>
      <c r="F56" s="32">
        <v>0.8</v>
      </c>
      <c r="G56" s="32">
        <v>0.5</v>
      </c>
      <c r="I56" s="1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C56" s="15" t="e">
        <f t="shared" si="0"/>
        <v>#DIV/0!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 t="e">
        <f t="shared" si="1"/>
        <v>#DIV/0!</v>
      </c>
      <c r="BB56" s="11"/>
    </row>
    <row r="57" spans="1:54" ht="17.25" customHeight="1" x14ac:dyDescent="0.2">
      <c r="A57" s="38" t="s">
        <v>114</v>
      </c>
      <c r="B57" s="76" t="s">
        <v>132</v>
      </c>
      <c r="C57" s="12" t="s">
        <v>90</v>
      </c>
      <c r="D57" s="12" t="s">
        <v>64</v>
      </c>
      <c r="E57" s="12">
        <v>2313</v>
      </c>
      <c r="F57" s="32">
        <v>0.6</v>
      </c>
      <c r="G57" s="32">
        <v>0.4</v>
      </c>
      <c r="I57" s="10"/>
      <c r="J57" s="9"/>
      <c r="K57" s="15">
        <v>1.1399999999999999</v>
      </c>
      <c r="L57" s="15">
        <v>0.14000000000000001</v>
      </c>
      <c r="M57" s="15">
        <v>7.4999999999999997E-2</v>
      </c>
      <c r="N57" s="9">
        <f>AVERAGE(1.02,1.55)</f>
        <v>1.2850000000000001</v>
      </c>
      <c r="O57" s="15">
        <v>0.14399999999999999</v>
      </c>
      <c r="P57" s="15">
        <v>8.3000000000000004E-2</v>
      </c>
      <c r="Q57" s="9">
        <f>AVERAGE(1.57,1.44)</f>
        <v>1.5049999999999999</v>
      </c>
      <c r="R57" s="15">
        <v>9.6000000000000002E-2</v>
      </c>
      <c r="S57" s="15">
        <v>5.8999999999999997E-2</v>
      </c>
      <c r="T57" s="15">
        <v>1.1200000000000001</v>
      </c>
      <c r="U57" s="15">
        <v>0.127</v>
      </c>
      <c r="V57" s="15">
        <v>7.0000000000000007E-2</v>
      </c>
      <c r="W57" s="9"/>
      <c r="X57" s="9"/>
      <c r="Y57" s="9"/>
      <c r="Z57" s="9"/>
      <c r="AC57" s="15">
        <f t="shared" si="0"/>
        <v>1.2625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 t="e">
        <f t="shared" si="1"/>
        <v>#DIV/0!</v>
      </c>
      <c r="BB57" s="11"/>
    </row>
    <row r="58" spans="1:54" ht="17.25" customHeight="1" x14ac:dyDescent="0.2">
      <c r="A58" s="38" t="s">
        <v>114</v>
      </c>
      <c r="B58" s="76" t="s">
        <v>132</v>
      </c>
      <c r="C58" s="12" t="s">
        <v>90</v>
      </c>
      <c r="D58" s="12" t="s">
        <v>64</v>
      </c>
      <c r="E58" s="12">
        <v>2314</v>
      </c>
      <c r="F58" s="32">
        <v>0.9</v>
      </c>
      <c r="G58" s="32">
        <v>0.5</v>
      </c>
      <c r="I58" s="1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C58" s="15" t="e">
        <f t="shared" si="0"/>
        <v>#DIV/0!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 t="e">
        <f t="shared" si="1"/>
        <v>#DIV/0!</v>
      </c>
      <c r="BB58" s="11"/>
    </row>
    <row r="59" spans="1:54" ht="17.25" customHeight="1" x14ac:dyDescent="0.2">
      <c r="A59" s="38" t="s">
        <v>114</v>
      </c>
      <c r="B59" s="76" t="s">
        <v>132</v>
      </c>
      <c r="C59" s="12" t="s">
        <v>90</v>
      </c>
      <c r="D59" s="12" t="s">
        <v>58</v>
      </c>
      <c r="E59" s="12">
        <v>2315</v>
      </c>
      <c r="F59" s="32">
        <v>0.2</v>
      </c>
      <c r="G59" s="32">
        <v>0.6</v>
      </c>
      <c r="I59" s="1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C59" s="15" t="e">
        <f t="shared" si="0"/>
        <v>#DIV/0!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 t="e">
        <f t="shared" si="1"/>
        <v>#DIV/0!</v>
      </c>
      <c r="BB59" s="11"/>
    </row>
    <row r="60" spans="1:54" ht="17.25" customHeight="1" x14ac:dyDescent="0.2">
      <c r="A60" s="38" t="s">
        <v>114</v>
      </c>
      <c r="B60" s="76" t="s">
        <v>132</v>
      </c>
      <c r="C60" s="12" t="s">
        <v>90</v>
      </c>
      <c r="D60" s="12" t="s">
        <v>64</v>
      </c>
      <c r="E60" s="12">
        <v>2316</v>
      </c>
      <c r="F60" s="32">
        <v>0.6</v>
      </c>
      <c r="G60" s="32">
        <v>0.6</v>
      </c>
      <c r="I60" s="1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C60" s="15" t="e">
        <f t="shared" si="0"/>
        <v>#DIV/0!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 t="e">
        <f t="shared" si="1"/>
        <v>#DIV/0!</v>
      </c>
      <c r="BB60" s="11"/>
    </row>
    <row r="61" spans="1:54" ht="17.25" customHeight="1" x14ac:dyDescent="0.2">
      <c r="A61" s="38" t="s">
        <v>114</v>
      </c>
      <c r="B61" s="76" t="s">
        <v>132</v>
      </c>
      <c r="C61" s="12" t="s">
        <v>90</v>
      </c>
      <c r="D61" s="12" t="s">
        <v>64</v>
      </c>
      <c r="E61" s="12">
        <v>2317</v>
      </c>
      <c r="F61" s="32">
        <v>0.7</v>
      </c>
      <c r="G61" s="32">
        <v>0.5</v>
      </c>
      <c r="I61" s="1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C61" s="15" t="e">
        <f t="shared" si="0"/>
        <v>#DIV/0!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 t="e">
        <f t="shared" si="1"/>
        <v>#DIV/0!</v>
      </c>
      <c r="BB61" s="11"/>
    </row>
    <row r="62" spans="1:54" ht="17.25" customHeight="1" x14ac:dyDescent="0.2">
      <c r="A62" s="38" t="s">
        <v>114</v>
      </c>
      <c r="B62" s="76" t="s">
        <v>132</v>
      </c>
      <c r="C62" s="12" t="s">
        <v>90</v>
      </c>
      <c r="D62" s="12" t="s">
        <v>64</v>
      </c>
      <c r="E62" s="12">
        <v>2318</v>
      </c>
      <c r="F62" s="32">
        <v>0.6</v>
      </c>
      <c r="G62" s="32">
        <v>0.6</v>
      </c>
      <c r="I62" s="1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C62" s="15" t="e">
        <f t="shared" si="0"/>
        <v>#DIV/0!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 t="e">
        <f t="shared" si="1"/>
        <v>#DIV/0!</v>
      </c>
      <c r="BB62" s="11"/>
    </row>
    <row r="63" spans="1:54" ht="17.25" customHeight="1" x14ac:dyDescent="0.2">
      <c r="A63" s="38" t="s">
        <v>114</v>
      </c>
      <c r="B63" s="76" t="s">
        <v>132</v>
      </c>
      <c r="C63" s="12" t="s">
        <v>90</v>
      </c>
      <c r="D63" s="12" t="s">
        <v>64</v>
      </c>
      <c r="E63" s="12">
        <v>2319</v>
      </c>
      <c r="F63" s="32">
        <v>0.7</v>
      </c>
      <c r="G63" s="32">
        <v>0.5</v>
      </c>
      <c r="I63" s="1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C63" s="15" t="e">
        <f t="shared" si="0"/>
        <v>#DIV/0!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 t="e">
        <f t="shared" si="1"/>
        <v>#DIV/0!</v>
      </c>
      <c r="BB63" s="11"/>
    </row>
    <row r="64" spans="1:54" ht="17.25" customHeight="1" x14ac:dyDescent="0.2">
      <c r="A64" s="38" t="s">
        <v>114</v>
      </c>
      <c r="B64" s="76" t="s">
        <v>132</v>
      </c>
      <c r="C64" s="12" t="s">
        <v>90</v>
      </c>
      <c r="D64" s="12" t="s">
        <v>58</v>
      </c>
      <c r="E64" s="12">
        <v>2320</v>
      </c>
      <c r="F64" s="32">
        <v>0.1</v>
      </c>
      <c r="G64" s="32">
        <v>0.1</v>
      </c>
      <c r="I64" s="1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C64" s="15" t="e">
        <f t="shared" si="0"/>
        <v>#DIV/0!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 t="e">
        <f t="shared" si="1"/>
        <v>#DIV/0!</v>
      </c>
      <c r="BB64" s="11"/>
    </row>
    <row r="65" spans="1:54" ht="17.25" customHeight="1" x14ac:dyDescent="0.2">
      <c r="A65" s="38" t="s">
        <v>114</v>
      </c>
      <c r="B65" s="76" t="s">
        <v>132</v>
      </c>
      <c r="C65" s="12" t="s">
        <v>90</v>
      </c>
      <c r="D65" s="12" t="s">
        <v>64</v>
      </c>
      <c r="E65" s="12">
        <v>2321</v>
      </c>
      <c r="F65" s="32">
        <v>0.6</v>
      </c>
      <c r="G65" s="32">
        <v>0.5</v>
      </c>
      <c r="I65" s="1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C65" s="15" t="e">
        <f t="shared" si="0"/>
        <v>#DIV/0!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 t="e">
        <f t="shared" si="1"/>
        <v>#DIV/0!</v>
      </c>
      <c r="BB65" s="11"/>
    </row>
    <row r="66" spans="1:54" ht="17.25" customHeight="1" x14ac:dyDescent="0.2">
      <c r="A66" s="38" t="s">
        <v>114</v>
      </c>
      <c r="B66" s="76" t="s">
        <v>132</v>
      </c>
      <c r="C66" s="12" t="s">
        <v>90</v>
      </c>
      <c r="D66" s="12" t="s">
        <v>58</v>
      </c>
      <c r="E66" s="12">
        <v>2322</v>
      </c>
      <c r="F66" s="32">
        <v>0.05</v>
      </c>
      <c r="G66" s="32">
        <v>0.05</v>
      </c>
      <c r="I66" s="10"/>
      <c r="J66" s="9"/>
      <c r="K66" s="15">
        <v>0.62</v>
      </c>
      <c r="L66" s="15"/>
      <c r="M66" s="15"/>
      <c r="N66" s="15">
        <v>0.63</v>
      </c>
      <c r="O66" s="15"/>
      <c r="P66" s="15"/>
      <c r="Q66" s="15">
        <v>0.63</v>
      </c>
      <c r="R66" s="9"/>
      <c r="S66" s="9"/>
      <c r="T66" s="9"/>
      <c r="U66" s="9"/>
      <c r="V66" s="9"/>
      <c r="W66" s="9"/>
      <c r="X66" s="9"/>
      <c r="Y66" s="9"/>
      <c r="Z66" s="9"/>
      <c r="AC66" s="15">
        <f t="shared" si="0"/>
        <v>0.62666666666666659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 t="e">
        <f t="shared" si="1"/>
        <v>#DIV/0!</v>
      </c>
      <c r="BB66" s="11"/>
    </row>
    <row r="67" spans="1:54" ht="17.25" customHeight="1" x14ac:dyDescent="0.2">
      <c r="A67" s="38" t="s">
        <v>114</v>
      </c>
      <c r="B67" s="76" t="s">
        <v>132</v>
      </c>
      <c r="C67" s="12" t="s">
        <v>90</v>
      </c>
      <c r="D67" s="12" t="s">
        <v>58</v>
      </c>
      <c r="E67" s="12">
        <v>2323</v>
      </c>
      <c r="F67" s="32">
        <v>0.2</v>
      </c>
      <c r="G67" s="32">
        <v>0.6</v>
      </c>
      <c r="I67" s="1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C67" s="15" t="e">
        <f t="shared" si="0"/>
        <v>#DIV/0!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 t="e">
        <f t="shared" si="1"/>
        <v>#DIV/0!</v>
      </c>
      <c r="BB67" s="11"/>
    </row>
    <row r="68" spans="1:54" ht="17.25" customHeight="1" x14ac:dyDescent="0.2">
      <c r="A68" s="38" t="s">
        <v>114</v>
      </c>
      <c r="B68" s="76" t="s">
        <v>132</v>
      </c>
      <c r="C68" s="12" t="s">
        <v>90</v>
      </c>
      <c r="D68" s="12" t="s">
        <v>64</v>
      </c>
      <c r="E68" s="12">
        <v>2324</v>
      </c>
      <c r="F68" s="32">
        <v>0.6</v>
      </c>
      <c r="G68" s="32">
        <v>0.4</v>
      </c>
      <c r="I68" s="1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C68" s="15" t="e">
        <f t="shared" si="0"/>
        <v>#DIV/0!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 t="e">
        <f t="shared" si="1"/>
        <v>#DIV/0!</v>
      </c>
      <c r="BB68" s="11"/>
    </row>
    <row r="69" spans="1:54" ht="17.25" customHeight="1" x14ac:dyDescent="0.2">
      <c r="A69" s="38" t="s">
        <v>114</v>
      </c>
      <c r="B69" s="76" t="s">
        <v>132</v>
      </c>
      <c r="C69" s="12" t="s">
        <v>90</v>
      </c>
      <c r="D69" s="12" t="s">
        <v>64</v>
      </c>
      <c r="E69" s="12">
        <v>2325</v>
      </c>
      <c r="F69" s="32">
        <v>0.6</v>
      </c>
      <c r="G69" s="32">
        <v>0.5</v>
      </c>
      <c r="H69" s="12" t="s">
        <v>91</v>
      </c>
      <c r="I69" s="1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C69" s="15" t="e">
        <f t="shared" si="0"/>
        <v>#DIV/0!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 t="e">
        <f t="shared" si="1"/>
        <v>#DIV/0!</v>
      </c>
      <c r="BB69" s="11"/>
    </row>
    <row r="70" spans="1:54" ht="17.25" customHeight="1" x14ac:dyDescent="0.2">
      <c r="A70" s="38" t="s">
        <v>114</v>
      </c>
      <c r="B70" s="76" t="s">
        <v>132</v>
      </c>
      <c r="C70" s="12" t="s">
        <v>90</v>
      </c>
      <c r="D70" s="12" t="s">
        <v>64</v>
      </c>
      <c r="E70" s="12">
        <v>2327</v>
      </c>
      <c r="F70" s="32">
        <v>0.6</v>
      </c>
      <c r="G70" s="32">
        <v>0.6</v>
      </c>
      <c r="H70" s="12" t="s">
        <v>92</v>
      </c>
      <c r="I70" s="1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C70" s="15" t="e">
        <f t="shared" si="0"/>
        <v>#DIV/0!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 t="e">
        <f t="shared" si="1"/>
        <v>#DIV/0!</v>
      </c>
      <c r="BB70" s="11"/>
    </row>
    <row r="71" spans="1:54" ht="17.25" customHeight="1" x14ac:dyDescent="0.2">
      <c r="A71" s="38" t="s">
        <v>114</v>
      </c>
      <c r="B71" s="76" t="s">
        <v>132</v>
      </c>
      <c r="C71" s="12" t="s">
        <v>90</v>
      </c>
      <c r="D71" s="12" t="s">
        <v>64</v>
      </c>
      <c r="E71" s="12">
        <v>2326</v>
      </c>
      <c r="F71" s="32">
        <v>0.2</v>
      </c>
      <c r="G71" s="32">
        <v>0.1</v>
      </c>
      <c r="H71" s="12" t="s">
        <v>93</v>
      </c>
      <c r="I71" s="1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C71" s="15" t="e">
        <f t="shared" si="0"/>
        <v>#DIV/0!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 t="e">
        <f t="shared" si="1"/>
        <v>#DIV/0!</v>
      </c>
      <c r="BB71" s="11"/>
    </row>
    <row r="72" spans="1:54" ht="17.25" customHeight="1" x14ac:dyDescent="0.2">
      <c r="A72" s="38" t="s">
        <v>114</v>
      </c>
      <c r="B72" s="76" t="s">
        <v>132</v>
      </c>
      <c r="C72" s="12" t="s">
        <v>90</v>
      </c>
      <c r="D72" s="12" t="s">
        <v>58</v>
      </c>
      <c r="E72" s="12">
        <v>2328</v>
      </c>
      <c r="F72" s="32"/>
      <c r="G72" s="32"/>
      <c r="H72" s="12" t="s">
        <v>94</v>
      </c>
      <c r="I72" s="1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C72" s="15" t="e">
        <f t="shared" si="0"/>
        <v>#DIV/0!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 t="e">
        <f t="shared" si="1"/>
        <v>#DIV/0!</v>
      </c>
      <c r="BB72" s="11"/>
    </row>
    <row r="73" spans="1:54" ht="17.25" customHeight="1" x14ac:dyDescent="0.2">
      <c r="A73" s="38" t="s">
        <v>114</v>
      </c>
      <c r="B73" s="76" t="s">
        <v>132</v>
      </c>
      <c r="C73" s="12" t="s">
        <v>90</v>
      </c>
      <c r="D73" s="12" t="s">
        <v>64</v>
      </c>
      <c r="E73" s="12">
        <v>2329</v>
      </c>
      <c r="F73" s="32">
        <v>0.4</v>
      </c>
      <c r="G73" s="32">
        <v>0.2</v>
      </c>
      <c r="I73" s="1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C73" s="15" t="e">
        <f t="shared" si="0"/>
        <v>#DIV/0!</v>
      </c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 t="e">
        <f t="shared" si="1"/>
        <v>#DIV/0!</v>
      </c>
      <c r="BB73" s="11"/>
    </row>
    <row r="74" spans="1:54" ht="17.25" customHeight="1" x14ac:dyDescent="0.2">
      <c r="A74" s="38" t="s">
        <v>114</v>
      </c>
      <c r="B74" s="76" t="s">
        <v>132</v>
      </c>
      <c r="C74" s="12" t="s">
        <v>90</v>
      </c>
      <c r="D74" s="12" t="s">
        <v>64</v>
      </c>
      <c r="E74" s="12">
        <v>2330</v>
      </c>
      <c r="F74" s="32"/>
      <c r="G74" s="32"/>
      <c r="H74" s="12" t="s">
        <v>95</v>
      </c>
      <c r="I74" s="1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C74" s="15" t="e">
        <f t="shared" si="0"/>
        <v>#DIV/0!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 t="e">
        <f t="shared" si="1"/>
        <v>#DIV/0!</v>
      </c>
      <c r="BB74" s="11"/>
    </row>
    <row r="75" spans="1:54" ht="15.75" customHeight="1" x14ac:dyDescent="0.2">
      <c r="A75" s="38" t="s">
        <v>114</v>
      </c>
      <c r="B75" s="76" t="s">
        <v>132</v>
      </c>
      <c r="C75" s="12" t="s">
        <v>90</v>
      </c>
      <c r="D75" s="12" t="s">
        <v>58</v>
      </c>
      <c r="E75" s="12">
        <v>2331</v>
      </c>
      <c r="F75" s="32">
        <v>0.1</v>
      </c>
      <c r="G75" s="32">
        <v>0.5</v>
      </c>
      <c r="I75" s="10"/>
      <c r="J75" s="9"/>
      <c r="K75" s="15">
        <v>0.45</v>
      </c>
      <c r="L75" s="15"/>
      <c r="M75" s="15"/>
      <c r="N75" s="15">
        <v>0.48</v>
      </c>
      <c r="O75" s="15"/>
      <c r="P75" s="15"/>
      <c r="Q75" s="15">
        <v>0.56000000000000005</v>
      </c>
      <c r="R75" s="9"/>
      <c r="S75" s="9"/>
      <c r="T75" s="9"/>
      <c r="U75" s="9"/>
      <c r="V75" s="9"/>
      <c r="W75" s="9"/>
      <c r="X75" s="9"/>
      <c r="Y75" s="9"/>
      <c r="Z75" s="9"/>
      <c r="AC75" s="15">
        <f t="shared" si="0"/>
        <v>0.49666666666666665</v>
      </c>
      <c r="AD75" s="15">
        <v>2.5099999999999998</v>
      </c>
      <c r="AE75" s="15">
        <v>0.14000000000000001</v>
      </c>
      <c r="AF75" s="15">
        <v>8.2000000000000003E-2</v>
      </c>
      <c r="AG75" s="15">
        <v>2.2999999999999998</v>
      </c>
      <c r="AH75" s="15">
        <v>0.127</v>
      </c>
      <c r="AI75" s="15">
        <v>7.5999999999999998E-2</v>
      </c>
      <c r="AJ75" s="15">
        <v>2.7</v>
      </c>
      <c r="AK75" s="15">
        <v>0.16800000000000001</v>
      </c>
      <c r="AL75" s="15">
        <v>0.1</v>
      </c>
      <c r="AM75" s="15">
        <v>2.83</v>
      </c>
      <c r="AN75" s="15">
        <v>0.16600000000000001</v>
      </c>
      <c r="AO75" s="15">
        <v>9.6000000000000002E-2</v>
      </c>
      <c r="AP75" s="15">
        <v>2.72</v>
      </c>
      <c r="AQ75" s="15">
        <v>0.113</v>
      </c>
      <c r="AR75" s="15">
        <v>6.4000000000000001E-2</v>
      </c>
      <c r="AS75" s="9"/>
      <c r="AT75" s="9"/>
      <c r="AU75" s="9"/>
      <c r="AV75" s="9"/>
      <c r="AW75" s="9"/>
      <c r="AX75" s="9"/>
      <c r="AY75" s="9"/>
      <c r="AZ75" s="9"/>
      <c r="BA75" s="9">
        <f t="shared" si="1"/>
        <v>2.6120000000000001</v>
      </c>
      <c r="BB75" s="11"/>
    </row>
    <row r="76" spans="1:54" ht="15.75" customHeight="1" x14ac:dyDescent="0.2">
      <c r="A76" s="38" t="s">
        <v>114</v>
      </c>
      <c r="B76" s="76" t="s">
        <v>132</v>
      </c>
      <c r="C76" s="12" t="s">
        <v>90</v>
      </c>
      <c r="D76" s="12" t="s">
        <v>64</v>
      </c>
      <c r="E76" s="12">
        <v>2332</v>
      </c>
      <c r="F76" s="32">
        <v>0.7</v>
      </c>
      <c r="G76" s="32">
        <v>0.4</v>
      </c>
      <c r="H76" s="12" t="s">
        <v>96</v>
      </c>
      <c r="I76" s="14">
        <v>1</v>
      </c>
      <c r="J76" s="15">
        <v>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C76" s="15" t="e">
        <f t="shared" si="0"/>
        <v>#DIV/0!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 t="e">
        <f t="shared" si="1"/>
        <v>#DIV/0!</v>
      </c>
      <c r="BB76" s="11"/>
    </row>
    <row r="77" spans="1:54" ht="15.75" customHeight="1" x14ac:dyDescent="0.2">
      <c r="A77" s="38" t="s">
        <v>114</v>
      </c>
      <c r="B77" s="76" t="s">
        <v>132</v>
      </c>
      <c r="C77" s="12" t="s">
        <v>90</v>
      </c>
      <c r="D77" s="12" t="s">
        <v>64</v>
      </c>
      <c r="E77" s="12">
        <v>2333</v>
      </c>
      <c r="F77" s="32">
        <v>0.7</v>
      </c>
      <c r="G77" s="32">
        <v>0.6</v>
      </c>
      <c r="I77" s="14">
        <v>1</v>
      </c>
      <c r="J77" s="15"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C77" s="15" t="e">
        <f t="shared" si="0"/>
        <v>#DIV/0!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 t="e">
        <f t="shared" si="1"/>
        <v>#DIV/0!</v>
      </c>
      <c r="BB77" s="11"/>
    </row>
    <row r="78" spans="1:54" ht="15.75" customHeight="1" x14ac:dyDescent="0.2">
      <c r="A78" s="38" t="s">
        <v>114</v>
      </c>
      <c r="B78" s="76" t="s">
        <v>132</v>
      </c>
      <c r="C78" s="2" t="s">
        <v>90</v>
      </c>
      <c r="D78" s="3" t="s">
        <v>64</v>
      </c>
      <c r="E78" s="12">
        <v>2334</v>
      </c>
      <c r="F78" s="32">
        <v>0.5</v>
      </c>
      <c r="G78" s="32">
        <v>0.5</v>
      </c>
      <c r="H78" s="9" t="s">
        <v>97</v>
      </c>
      <c r="I78" s="14">
        <v>1</v>
      </c>
      <c r="J78" s="15">
        <v>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C78" s="15" t="e">
        <f t="shared" si="0"/>
        <v>#DIV/0!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 t="e">
        <f t="shared" si="1"/>
        <v>#DIV/0!</v>
      </c>
      <c r="BB78" s="11"/>
    </row>
    <row r="79" spans="1:54" ht="15.75" customHeight="1" x14ac:dyDescent="0.2">
      <c r="A79" s="38" t="s">
        <v>114</v>
      </c>
      <c r="B79" s="76" t="s">
        <v>132</v>
      </c>
      <c r="C79" s="12" t="s">
        <v>90</v>
      </c>
      <c r="D79" s="12" t="s">
        <v>64</v>
      </c>
      <c r="E79" s="12">
        <v>2336</v>
      </c>
      <c r="F79" s="32">
        <v>0.5</v>
      </c>
      <c r="G79" s="32">
        <v>0.5</v>
      </c>
      <c r="H79" s="9" t="s">
        <v>98</v>
      </c>
      <c r="I79" s="14">
        <v>0</v>
      </c>
      <c r="J79" s="15">
        <v>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C79" s="15" t="e">
        <f t="shared" si="0"/>
        <v>#DIV/0!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 t="e">
        <f t="shared" si="1"/>
        <v>#DIV/0!</v>
      </c>
      <c r="BB79" s="11"/>
    </row>
    <row r="80" spans="1:54" ht="15.75" customHeight="1" x14ac:dyDescent="0.2">
      <c r="A80" s="38" t="s">
        <v>114</v>
      </c>
      <c r="B80" s="76" t="s">
        <v>132</v>
      </c>
      <c r="C80" s="12" t="s">
        <v>90</v>
      </c>
      <c r="D80" s="12" t="s">
        <v>64</v>
      </c>
      <c r="E80" s="12">
        <v>2335</v>
      </c>
      <c r="F80" s="32">
        <v>0.4</v>
      </c>
      <c r="G80" s="32">
        <v>0.5</v>
      </c>
      <c r="H80" s="9" t="s">
        <v>99</v>
      </c>
      <c r="I80" s="14">
        <v>1</v>
      </c>
      <c r="J80" s="15">
        <v>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C80" s="15" t="e">
        <f t="shared" si="0"/>
        <v>#DIV/0!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 t="e">
        <f t="shared" si="1"/>
        <v>#DIV/0!</v>
      </c>
      <c r="BB80" s="11"/>
    </row>
    <row r="81" spans="1:54" ht="15.75" customHeight="1" x14ac:dyDescent="0.2">
      <c r="A81" s="38" t="s">
        <v>114</v>
      </c>
      <c r="B81" s="76" t="s">
        <v>132</v>
      </c>
      <c r="C81" s="38" t="s">
        <v>100</v>
      </c>
      <c r="D81" s="38" t="s">
        <v>64</v>
      </c>
      <c r="E81" s="38">
        <v>2374</v>
      </c>
      <c r="F81" s="32"/>
      <c r="G81" s="32"/>
      <c r="H81" s="12"/>
      <c r="I81" s="14">
        <v>2</v>
      </c>
      <c r="J81" s="15">
        <v>2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C81" s="15" t="e">
        <f t="shared" si="0"/>
        <v>#DIV/0!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 t="e">
        <f t="shared" si="1"/>
        <v>#DIV/0!</v>
      </c>
      <c r="BB81" s="11"/>
    </row>
    <row r="82" spans="1:54" ht="15.75" customHeight="1" x14ac:dyDescent="0.2">
      <c r="A82" s="38" t="s">
        <v>114</v>
      </c>
      <c r="B82" s="76" t="s">
        <v>131</v>
      </c>
      <c r="C82" s="12" t="s">
        <v>101</v>
      </c>
      <c r="D82" s="12" t="s">
        <v>58</v>
      </c>
      <c r="E82" s="34">
        <v>2301</v>
      </c>
      <c r="F82" s="32">
        <v>0.05</v>
      </c>
      <c r="G82" s="32">
        <v>0.05</v>
      </c>
      <c r="H82" s="12" t="s">
        <v>102</v>
      </c>
      <c r="I82" s="10"/>
      <c r="J82" s="9"/>
      <c r="K82" s="15">
        <v>1.1200000000000001</v>
      </c>
      <c r="L82" s="15"/>
      <c r="M82" s="15"/>
      <c r="N82" s="15">
        <v>0.74</v>
      </c>
      <c r="O82" s="15"/>
      <c r="P82" s="15"/>
      <c r="Q82" s="15">
        <v>1.23</v>
      </c>
      <c r="R82" s="15"/>
      <c r="S82" s="15"/>
      <c r="T82" s="15">
        <v>0.81</v>
      </c>
      <c r="U82" s="9"/>
      <c r="V82" s="9"/>
      <c r="W82" s="9"/>
      <c r="X82" s="9"/>
      <c r="Y82" s="9"/>
      <c r="Z82" s="9"/>
      <c r="AC82" s="15">
        <f t="shared" si="0"/>
        <v>0.97499999999999998</v>
      </c>
      <c r="AD82" s="15">
        <v>1.7</v>
      </c>
      <c r="AE82" s="15">
        <v>0.29199999999999998</v>
      </c>
      <c r="AF82" s="15">
        <v>0.17299999999999999</v>
      </c>
      <c r="AG82" s="15">
        <v>1.42</v>
      </c>
      <c r="AH82" s="15">
        <v>0.32700000000000001</v>
      </c>
      <c r="AI82" s="15">
        <v>0.185</v>
      </c>
      <c r="AJ82" s="15">
        <v>1.7</v>
      </c>
      <c r="AK82" s="15">
        <v>0.38</v>
      </c>
      <c r="AL82" s="15">
        <v>0.22700000000000001</v>
      </c>
      <c r="AM82" s="15">
        <v>2.25</v>
      </c>
      <c r="AN82" s="15">
        <v>0.28899999999999998</v>
      </c>
      <c r="AO82" s="15">
        <v>0.16400000000000001</v>
      </c>
      <c r="AP82" s="15">
        <v>1.96</v>
      </c>
      <c r="AQ82" s="15">
        <v>0.29399999999999998</v>
      </c>
      <c r="AR82" s="15">
        <v>0.16800000000000001</v>
      </c>
      <c r="AS82" s="9"/>
      <c r="AT82" s="9"/>
      <c r="AU82" s="9"/>
      <c r="AV82" s="9"/>
      <c r="AW82" s="9"/>
      <c r="AX82" s="9"/>
      <c r="AY82" s="9"/>
      <c r="AZ82" s="9"/>
      <c r="BA82" s="9">
        <f t="shared" si="1"/>
        <v>1.8060000000000003</v>
      </c>
      <c r="BB82" s="11"/>
    </row>
    <row r="83" spans="1:54" ht="15.75" customHeight="1" x14ac:dyDescent="0.2">
      <c r="A83" s="38" t="s">
        <v>114</v>
      </c>
      <c r="B83" s="76" t="s">
        <v>131</v>
      </c>
      <c r="C83" s="12" t="s">
        <v>101</v>
      </c>
      <c r="D83" s="12" t="s">
        <v>64</v>
      </c>
      <c r="E83" s="12">
        <v>2302</v>
      </c>
      <c r="F83" s="32">
        <v>0.4</v>
      </c>
      <c r="G83" s="32">
        <v>0.5</v>
      </c>
      <c r="I83" s="14">
        <v>0</v>
      </c>
      <c r="J83" s="15">
        <v>1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C83" s="15" t="e">
        <f t="shared" si="0"/>
        <v>#DIV/0!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 t="e">
        <f t="shared" si="1"/>
        <v>#DIV/0!</v>
      </c>
      <c r="BB83" s="11"/>
    </row>
    <row r="84" spans="1:54" ht="15.75" customHeight="1" x14ac:dyDescent="0.2">
      <c r="A84" s="38" t="s">
        <v>114</v>
      </c>
      <c r="B84" s="76" t="s">
        <v>131</v>
      </c>
      <c r="C84" s="12" t="s">
        <v>101</v>
      </c>
      <c r="D84" s="12" t="s">
        <v>64</v>
      </c>
      <c r="E84" s="12">
        <v>2303</v>
      </c>
      <c r="F84" s="32">
        <v>0.7</v>
      </c>
      <c r="G84" s="32">
        <v>0.6</v>
      </c>
      <c r="I84" s="14">
        <v>0</v>
      </c>
      <c r="J84" s="15">
        <v>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C84" s="15" t="e">
        <f t="shared" si="0"/>
        <v>#DIV/0!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 t="e">
        <f t="shared" si="1"/>
        <v>#DIV/0!</v>
      </c>
      <c r="BB84" s="11"/>
    </row>
    <row r="85" spans="1:54" ht="17.25" customHeight="1" x14ac:dyDescent="0.2">
      <c r="A85" s="38" t="s">
        <v>114</v>
      </c>
      <c r="B85" s="76" t="s">
        <v>131</v>
      </c>
      <c r="C85" s="12" t="s">
        <v>101</v>
      </c>
      <c r="D85" s="12" t="s">
        <v>64</v>
      </c>
      <c r="E85" s="12">
        <v>2304</v>
      </c>
      <c r="F85" s="32">
        <v>0.4</v>
      </c>
      <c r="G85" s="32">
        <v>0.4</v>
      </c>
      <c r="I85" s="14">
        <v>0</v>
      </c>
      <c r="J85" s="15">
        <v>0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C85" s="15" t="e">
        <f t="shared" si="0"/>
        <v>#DIV/0!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 t="e">
        <f t="shared" si="1"/>
        <v>#DIV/0!</v>
      </c>
      <c r="BB85" s="11"/>
    </row>
    <row r="86" spans="1:54" ht="17.25" customHeight="1" x14ac:dyDescent="0.2">
      <c r="A86" s="38" t="s">
        <v>114</v>
      </c>
      <c r="B86" s="76" t="s">
        <v>131</v>
      </c>
      <c r="C86" s="12" t="s">
        <v>101</v>
      </c>
      <c r="D86" s="12" t="s">
        <v>64</v>
      </c>
      <c r="E86" s="12">
        <v>2305</v>
      </c>
      <c r="F86" s="32">
        <v>0.5</v>
      </c>
      <c r="G86" s="32">
        <v>0.4</v>
      </c>
      <c r="H86" s="9" t="s">
        <v>103</v>
      </c>
      <c r="I86" s="14">
        <v>0</v>
      </c>
      <c r="J86" s="15">
        <v>1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C86" s="15" t="e">
        <f t="shared" si="0"/>
        <v>#DIV/0!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 t="e">
        <f t="shared" si="1"/>
        <v>#DIV/0!</v>
      </c>
      <c r="BB86" s="11"/>
    </row>
    <row r="87" spans="1:54" ht="17.25" customHeight="1" x14ac:dyDescent="0.2">
      <c r="A87" s="38" t="s">
        <v>114</v>
      </c>
      <c r="B87" s="76" t="s">
        <v>131</v>
      </c>
      <c r="C87" s="12" t="s">
        <v>101</v>
      </c>
      <c r="D87" s="12" t="s">
        <v>64</v>
      </c>
      <c r="E87" s="12">
        <v>2306</v>
      </c>
      <c r="F87" s="32">
        <v>0.5</v>
      </c>
      <c r="G87" s="32">
        <v>0.4</v>
      </c>
      <c r="H87" s="12" t="s">
        <v>104</v>
      </c>
      <c r="I87" s="14">
        <v>1</v>
      </c>
      <c r="J87" s="15">
        <v>0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C87" s="15" t="e">
        <f t="shared" si="0"/>
        <v>#DIV/0!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 t="e">
        <f t="shared" si="1"/>
        <v>#DIV/0!</v>
      </c>
      <c r="BB87" s="11"/>
    </row>
    <row r="88" spans="1:54" ht="17.25" customHeight="1" x14ac:dyDescent="0.2">
      <c r="A88" s="38" t="s">
        <v>114</v>
      </c>
      <c r="B88" s="76" t="s">
        <v>131</v>
      </c>
      <c r="C88" s="12" t="s">
        <v>101</v>
      </c>
      <c r="D88" s="12" t="s">
        <v>64</v>
      </c>
      <c r="E88" s="12">
        <v>2307</v>
      </c>
      <c r="F88" s="32">
        <v>0.6</v>
      </c>
      <c r="G88" s="32">
        <v>0.5</v>
      </c>
      <c r="I88" s="14">
        <v>0</v>
      </c>
      <c r="J88" s="15">
        <v>0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C88" s="15" t="e">
        <f t="shared" si="0"/>
        <v>#DIV/0!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 t="e">
        <f t="shared" si="1"/>
        <v>#DIV/0!</v>
      </c>
      <c r="BB88" s="11"/>
    </row>
    <row r="89" spans="1:54" ht="17.25" customHeight="1" x14ac:dyDescent="0.2">
      <c r="A89" s="38" t="s">
        <v>114</v>
      </c>
      <c r="B89" s="76" t="s">
        <v>131</v>
      </c>
      <c r="C89" s="12" t="s">
        <v>101</v>
      </c>
      <c r="D89" s="12" t="s">
        <v>64</v>
      </c>
      <c r="E89" s="12">
        <v>2308</v>
      </c>
      <c r="F89" s="32">
        <v>0.7</v>
      </c>
      <c r="G89" s="32">
        <v>0.7</v>
      </c>
      <c r="I89" s="14">
        <v>3</v>
      </c>
      <c r="J89" s="15">
        <v>0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C89" s="15" t="e">
        <f t="shared" si="0"/>
        <v>#DIV/0!</v>
      </c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 t="e">
        <f t="shared" si="1"/>
        <v>#DIV/0!</v>
      </c>
      <c r="BB89" s="11"/>
    </row>
    <row r="90" spans="1:54" ht="17.25" customHeight="1" x14ac:dyDescent="0.2">
      <c r="A90" s="38" t="s">
        <v>114</v>
      </c>
      <c r="B90" s="76" t="s">
        <v>131</v>
      </c>
      <c r="C90" s="12" t="s">
        <v>101</v>
      </c>
      <c r="D90" s="12" t="s">
        <v>64</v>
      </c>
      <c r="E90" s="12">
        <v>2309</v>
      </c>
      <c r="F90" s="32">
        <v>0.7</v>
      </c>
      <c r="G90" s="32">
        <v>0.5</v>
      </c>
      <c r="I90" s="14">
        <v>0</v>
      </c>
      <c r="J90" s="15">
        <v>0</v>
      </c>
      <c r="K90" s="15">
        <v>1.05</v>
      </c>
      <c r="L90" s="15"/>
      <c r="M90" s="15"/>
      <c r="N90" s="15">
        <v>1.21</v>
      </c>
      <c r="O90" s="15"/>
      <c r="P90" s="15"/>
      <c r="Q90" s="15">
        <v>1.46</v>
      </c>
      <c r="R90" s="15"/>
      <c r="S90" s="15"/>
      <c r="T90" s="15">
        <v>1.92</v>
      </c>
      <c r="U90" s="15"/>
      <c r="V90" s="15"/>
      <c r="W90" s="15">
        <v>2.1</v>
      </c>
      <c r="X90" s="9"/>
      <c r="Y90" s="9"/>
      <c r="Z90" s="9"/>
      <c r="AC90" s="15">
        <f t="shared" si="0"/>
        <v>1.548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 t="e">
        <f t="shared" si="1"/>
        <v>#DIV/0!</v>
      </c>
      <c r="BB90" s="16" t="s">
        <v>105</v>
      </c>
    </row>
    <row r="91" spans="1:54" ht="15.75" customHeight="1" x14ac:dyDescent="0.2">
      <c r="A91" s="38" t="s">
        <v>114</v>
      </c>
      <c r="B91" s="76" t="s">
        <v>133</v>
      </c>
      <c r="C91" s="53" t="s">
        <v>106</v>
      </c>
      <c r="D91" s="54" t="s">
        <v>64</v>
      </c>
      <c r="E91" s="55">
        <v>2370</v>
      </c>
      <c r="F91" s="32"/>
      <c r="G91" s="32"/>
      <c r="I91" s="14">
        <v>1</v>
      </c>
      <c r="J91" s="15">
        <v>0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C91" s="15" t="e">
        <f t="shared" si="0"/>
        <v>#DIV/0!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 t="e">
        <f t="shared" si="1"/>
        <v>#DIV/0!</v>
      </c>
      <c r="BB91" s="16" t="s">
        <v>105</v>
      </c>
    </row>
    <row r="92" spans="1:54" ht="15.75" customHeight="1" x14ac:dyDescent="0.2">
      <c r="A92" s="38" t="s">
        <v>114</v>
      </c>
      <c r="B92" s="76" t="s">
        <v>133</v>
      </c>
      <c r="C92" s="53" t="s">
        <v>107</v>
      </c>
      <c r="D92" s="54" t="s">
        <v>64</v>
      </c>
      <c r="E92" s="55">
        <v>2371</v>
      </c>
      <c r="F92" s="32"/>
      <c r="G92" s="32"/>
      <c r="I92" s="14">
        <v>0</v>
      </c>
      <c r="J92" s="15">
        <v>0</v>
      </c>
      <c r="K92" s="15">
        <v>1.26</v>
      </c>
      <c r="L92" s="15"/>
      <c r="M92" s="15"/>
      <c r="N92" s="15">
        <v>2.2000000000000002</v>
      </c>
      <c r="O92" s="15"/>
      <c r="P92" s="15"/>
      <c r="Q92" s="15">
        <v>1.89</v>
      </c>
      <c r="R92" s="15"/>
      <c r="S92" s="15"/>
      <c r="T92" s="15">
        <v>1.0900000000000001</v>
      </c>
      <c r="U92" s="15"/>
      <c r="V92" s="15"/>
      <c r="W92" s="15">
        <v>1.77</v>
      </c>
      <c r="X92" s="9"/>
      <c r="Y92" s="9"/>
      <c r="Z92" s="9"/>
      <c r="AC92" s="15">
        <f t="shared" si="0"/>
        <v>1.6419999999999999</v>
      </c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 t="e">
        <f t="shared" si="1"/>
        <v>#DIV/0!</v>
      </c>
      <c r="BB92" s="16" t="s">
        <v>105</v>
      </c>
    </row>
    <row r="93" spans="1:54" ht="15.75" customHeight="1" x14ac:dyDescent="0.2">
      <c r="A93" s="38" t="s">
        <v>114</v>
      </c>
      <c r="B93" s="76" t="s">
        <v>133</v>
      </c>
      <c r="C93" s="53" t="s">
        <v>108</v>
      </c>
      <c r="D93" s="54" t="s">
        <v>64</v>
      </c>
      <c r="E93" s="55">
        <v>2372</v>
      </c>
      <c r="F93" s="32"/>
      <c r="G93" s="32"/>
      <c r="I93" s="14">
        <v>1</v>
      </c>
      <c r="J93" s="15">
        <v>0</v>
      </c>
      <c r="K93" s="15">
        <v>1.31</v>
      </c>
      <c r="L93" s="15"/>
      <c r="M93" s="15"/>
      <c r="N93" s="15">
        <v>1.37</v>
      </c>
      <c r="O93" s="15"/>
      <c r="P93" s="15"/>
      <c r="Q93" s="15">
        <v>1.57</v>
      </c>
      <c r="R93" s="15"/>
      <c r="S93" s="15"/>
      <c r="T93" s="15">
        <v>1.18</v>
      </c>
      <c r="U93" s="15"/>
      <c r="V93" s="15"/>
      <c r="W93" s="15">
        <v>1.08</v>
      </c>
      <c r="X93" s="9"/>
      <c r="Y93" s="9"/>
      <c r="Z93" s="9"/>
      <c r="AC93" s="15">
        <f t="shared" si="0"/>
        <v>1.302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 t="e">
        <f t="shared" si="1"/>
        <v>#DIV/0!</v>
      </c>
      <c r="BB93" s="16" t="s">
        <v>109</v>
      </c>
    </row>
    <row r="94" spans="1:54" ht="15.75" customHeight="1" x14ac:dyDescent="0.2">
      <c r="A94" s="38" t="s">
        <v>114</v>
      </c>
      <c r="B94" s="76" t="s">
        <v>133</v>
      </c>
      <c r="C94" s="53" t="s">
        <v>110</v>
      </c>
      <c r="D94" s="54" t="s">
        <v>64</v>
      </c>
      <c r="E94" s="55">
        <v>2373</v>
      </c>
      <c r="F94" s="32"/>
      <c r="G94" s="32"/>
      <c r="I94" s="14">
        <v>0</v>
      </c>
      <c r="J94" s="15">
        <v>1</v>
      </c>
      <c r="K94" s="15">
        <v>1.24</v>
      </c>
      <c r="L94" s="15"/>
      <c r="M94" s="15"/>
      <c r="N94" s="15">
        <v>1.35</v>
      </c>
      <c r="O94" s="15"/>
      <c r="P94" s="15"/>
      <c r="Q94" s="15">
        <v>1.46</v>
      </c>
      <c r="R94" s="15"/>
      <c r="S94" s="15"/>
      <c r="T94" s="15">
        <v>1.56</v>
      </c>
      <c r="U94" s="15"/>
      <c r="V94" s="15"/>
      <c r="W94" s="15">
        <v>1.25</v>
      </c>
      <c r="X94" s="15"/>
      <c r="Y94" s="15"/>
      <c r="Z94" s="15">
        <v>1</v>
      </c>
      <c r="AC94" s="15">
        <f t="shared" si="0"/>
        <v>1.3099999999999998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 t="e">
        <f t="shared" si="1"/>
        <v>#DIV/0!</v>
      </c>
      <c r="BB94" s="16" t="s">
        <v>111</v>
      </c>
    </row>
    <row r="95" spans="1:54" ht="15.75" customHeight="1" x14ac:dyDescent="0.2">
      <c r="A95" s="2"/>
      <c r="B95" s="76" t="s">
        <v>60</v>
      </c>
      <c r="C95" s="2" t="s">
        <v>112</v>
      </c>
      <c r="D95" s="3" t="s">
        <v>64</v>
      </c>
      <c r="E95" s="3"/>
      <c r="F95" s="32">
        <v>0.3</v>
      </c>
      <c r="G95" s="32">
        <v>0.4</v>
      </c>
      <c r="I95" s="1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C95" s="15" t="e">
        <f t="shared" si="0"/>
        <v>#DIV/0!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 t="e">
        <f t="shared" si="1"/>
        <v>#DIV/0!</v>
      </c>
      <c r="BB95" s="11"/>
    </row>
    <row r="96" spans="1:54" ht="15.75" customHeight="1" x14ac:dyDescent="0.2">
      <c r="A96" s="2"/>
      <c r="B96" s="76" t="s">
        <v>60</v>
      </c>
      <c r="C96" s="2" t="s">
        <v>112</v>
      </c>
      <c r="D96" s="3" t="s">
        <v>64</v>
      </c>
      <c r="E96" s="3"/>
      <c r="F96" s="32">
        <v>0.2</v>
      </c>
      <c r="G96" s="32">
        <v>0.25</v>
      </c>
      <c r="I96" s="1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C96" s="15" t="e">
        <f t="shared" si="0"/>
        <v>#DIV/0!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 t="e">
        <f t="shared" si="1"/>
        <v>#DIV/0!</v>
      </c>
      <c r="BB96" s="11"/>
    </row>
    <row r="97" spans="1:54" ht="15.75" customHeight="1" x14ac:dyDescent="0.2">
      <c r="A97" s="2"/>
      <c r="B97" s="76" t="s">
        <v>60</v>
      </c>
      <c r="C97" s="2" t="s">
        <v>112</v>
      </c>
      <c r="D97" s="3" t="s">
        <v>64</v>
      </c>
      <c r="E97" s="3"/>
      <c r="F97" s="32">
        <v>0.3</v>
      </c>
      <c r="G97" s="32">
        <v>0.25</v>
      </c>
      <c r="I97" s="1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C97" s="15" t="e">
        <f t="shared" si="0"/>
        <v>#DIV/0!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 t="e">
        <f t="shared" si="1"/>
        <v>#DIV/0!</v>
      </c>
      <c r="BB97" s="11"/>
    </row>
    <row r="98" spans="1:54" ht="15.75" customHeight="1" x14ac:dyDescent="0.2">
      <c r="A98" s="2"/>
      <c r="B98" s="76" t="s">
        <v>60</v>
      </c>
      <c r="C98" s="2" t="s">
        <v>112</v>
      </c>
      <c r="D98" s="3" t="s">
        <v>64</v>
      </c>
      <c r="E98" s="3"/>
      <c r="F98" s="32">
        <v>0.75</v>
      </c>
      <c r="G98" s="32">
        <v>0.6</v>
      </c>
      <c r="I98" s="1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C98" s="15" t="e">
        <f t="shared" si="0"/>
        <v>#DIV/0!</v>
      </c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 t="e">
        <f t="shared" si="1"/>
        <v>#DIV/0!</v>
      </c>
      <c r="BB98" s="11"/>
    </row>
    <row r="99" spans="1:54" ht="15.75" customHeight="1" x14ac:dyDescent="0.2">
      <c r="A99" s="2"/>
      <c r="B99" s="76" t="s">
        <v>60</v>
      </c>
      <c r="C99" s="2" t="s">
        <v>112</v>
      </c>
      <c r="D99" s="3" t="s">
        <v>64</v>
      </c>
      <c r="E99" s="3"/>
      <c r="F99" s="32">
        <v>0.7</v>
      </c>
      <c r="G99" s="32">
        <v>0.5</v>
      </c>
      <c r="I99" s="1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C99" s="15" t="e">
        <f t="shared" si="0"/>
        <v>#DIV/0!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 t="e">
        <f t="shared" si="1"/>
        <v>#DIV/0!</v>
      </c>
      <c r="BB99" s="11"/>
    </row>
    <row r="100" spans="1:54" ht="15.75" customHeight="1" x14ac:dyDescent="0.2">
      <c r="A100" s="2"/>
      <c r="B100" s="76" t="s">
        <v>60</v>
      </c>
      <c r="C100" s="2" t="s">
        <v>113</v>
      </c>
      <c r="D100" s="3" t="s">
        <v>64</v>
      </c>
      <c r="E100" s="3"/>
      <c r="F100" s="32">
        <v>0.5</v>
      </c>
      <c r="G100" s="32">
        <v>0.2</v>
      </c>
      <c r="I100" s="1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C100" s="15" t="e">
        <f t="shared" si="0"/>
        <v>#DIV/0!</v>
      </c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 t="e">
        <f t="shared" si="1"/>
        <v>#DIV/0!</v>
      </c>
      <c r="BB100" s="11"/>
    </row>
    <row r="101" spans="1:54" ht="15.75" customHeight="1" x14ac:dyDescent="0.2">
      <c r="A101" s="2"/>
      <c r="B101" s="76" t="s">
        <v>60</v>
      </c>
      <c r="C101" s="2" t="s">
        <v>113</v>
      </c>
      <c r="D101" s="3" t="s">
        <v>64</v>
      </c>
      <c r="E101" s="3"/>
      <c r="F101" s="32">
        <v>0.2</v>
      </c>
      <c r="G101" s="32">
        <v>0.2</v>
      </c>
      <c r="I101" s="1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C101" s="15" t="e">
        <f t="shared" si="0"/>
        <v>#DIV/0!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 t="e">
        <f t="shared" si="1"/>
        <v>#DIV/0!</v>
      </c>
      <c r="BB101" s="11"/>
    </row>
    <row r="102" spans="1:54" ht="15.75" customHeight="1" x14ac:dyDescent="0.2">
      <c r="A102" s="2"/>
      <c r="B102" s="76" t="s">
        <v>60</v>
      </c>
      <c r="C102" s="2" t="s">
        <v>113</v>
      </c>
      <c r="D102" s="3" t="s">
        <v>64</v>
      </c>
      <c r="E102" s="3"/>
      <c r="F102" s="32">
        <v>0.3</v>
      </c>
      <c r="G102" s="32">
        <v>0.35</v>
      </c>
      <c r="I102" s="1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C102" s="15" t="e">
        <f t="shared" si="0"/>
        <v>#DIV/0!</v>
      </c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 t="e">
        <f t="shared" si="1"/>
        <v>#DIV/0!</v>
      </c>
      <c r="BB102" s="11"/>
    </row>
    <row r="103" spans="1:54" ht="15.75" customHeight="1" x14ac:dyDescent="0.2">
      <c r="A103" s="2"/>
      <c r="B103" s="76" t="s">
        <v>60</v>
      </c>
      <c r="C103" s="2" t="s">
        <v>113</v>
      </c>
      <c r="D103" s="3" t="s">
        <v>64</v>
      </c>
      <c r="E103" s="3"/>
      <c r="F103" s="32">
        <v>0.15</v>
      </c>
      <c r="G103" s="32">
        <v>0.25</v>
      </c>
      <c r="I103" s="1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C103" s="15" t="e">
        <f t="shared" si="0"/>
        <v>#DIV/0!</v>
      </c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 t="e">
        <f t="shared" si="1"/>
        <v>#DIV/0!</v>
      </c>
      <c r="BB103" s="11"/>
    </row>
    <row r="104" spans="1:54" ht="15.75" customHeight="1" x14ac:dyDescent="0.2">
      <c r="A104" s="2"/>
      <c r="B104" s="76" t="s">
        <v>60</v>
      </c>
      <c r="C104" s="2" t="s">
        <v>113</v>
      </c>
      <c r="D104" s="3" t="s">
        <v>64</v>
      </c>
      <c r="E104" s="3"/>
      <c r="F104" s="32">
        <v>0.1</v>
      </c>
      <c r="G104" s="32">
        <v>0.4</v>
      </c>
      <c r="I104" s="1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C104" s="15" t="e">
        <f t="shared" si="0"/>
        <v>#DIV/0!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 t="e">
        <f t="shared" si="1"/>
        <v>#DIV/0!</v>
      </c>
      <c r="BB104" s="11"/>
    </row>
    <row r="105" spans="1:54" ht="15.75" customHeight="1" x14ac:dyDescent="0.2">
      <c r="A105" s="12"/>
      <c r="B105" s="76" t="s">
        <v>60</v>
      </c>
      <c r="C105" s="12" t="s">
        <v>114</v>
      </c>
      <c r="D105" s="12" t="s">
        <v>58</v>
      </c>
      <c r="E105" s="12"/>
      <c r="F105" s="32">
        <v>0.05</v>
      </c>
      <c r="G105" s="32">
        <v>0.05</v>
      </c>
      <c r="I105" s="1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C105" s="15" t="e">
        <f t="shared" si="0"/>
        <v>#DIV/0!</v>
      </c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 t="e">
        <f t="shared" si="1"/>
        <v>#DIV/0!</v>
      </c>
      <c r="BB105" s="11"/>
    </row>
    <row r="106" spans="1:54" ht="15.75" customHeight="1" x14ac:dyDescent="0.2">
      <c r="A106" s="12"/>
      <c r="B106" s="76" t="s">
        <v>60</v>
      </c>
      <c r="C106" s="12" t="s">
        <v>114</v>
      </c>
      <c r="D106" s="12" t="s">
        <v>58</v>
      </c>
      <c r="E106" s="12"/>
      <c r="F106" s="32">
        <v>0.2</v>
      </c>
      <c r="G106" s="32">
        <v>0.05</v>
      </c>
      <c r="H106" s="12" t="s">
        <v>116</v>
      </c>
      <c r="I106" s="1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C106" s="15" t="e">
        <f t="shared" si="0"/>
        <v>#DIV/0!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 t="e">
        <f t="shared" si="1"/>
        <v>#DIV/0!</v>
      </c>
      <c r="BB106" s="11"/>
    </row>
    <row r="107" spans="1:54" ht="15.75" customHeight="1" x14ac:dyDescent="0.2">
      <c r="A107" s="53" t="s">
        <v>114</v>
      </c>
      <c r="B107" s="76" t="s">
        <v>133</v>
      </c>
      <c r="C107" s="2" t="s">
        <v>117</v>
      </c>
      <c r="D107" s="3" t="s">
        <v>64</v>
      </c>
      <c r="E107" s="58">
        <v>2381</v>
      </c>
      <c r="F107" s="32"/>
      <c r="G107" s="32"/>
      <c r="H107" s="33" t="s">
        <v>118</v>
      </c>
      <c r="I107" s="14">
        <v>0</v>
      </c>
      <c r="J107" s="15">
        <v>3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C107" s="15" t="e">
        <f t="shared" si="0"/>
        <v>#DIV/0!</v>
      </c>
      <c r="AD107" s="9"/>
      <c r="AE107" s="9"/>
      <c r="AF107" s="15">
        <v>8.3000000000000004E-2</v>
      </c>
      <c r="AG107" s="9"/>
      <c r="AH107" s="9"/>
      <c r="AI107" s="15">
        <v>4.3999999999999997E-2</v>
      </c>
      <c r="AJ107" s="9"/>
      <c r="AK107" s="9"/>
      <c r="AL107" s="15">
        <v>3.6999999999999998E-2</v>
      </c>
      <c r="AM107" s="9"/>
      <c r="AN107" s="9"/>
      <c r="AO107" s="15">
        <v>0.16300000000000001</v>
      </c>
      <c r="AP107" s="9"/>
      <c r="AQ107" s="9"/>
      <c r="AR107" s="15">
        <v>4.2000000000000003E-2</v>
      </c>
      <c r="AS107" s="9"/>
      <c r="AT107" s="9"/>
      <c r="AU107" s="15">
        <v>4.2999999999999997E-2</v>
      </c>
      <c r="AV107" s="9"/>
      <c r="AW107" s="9"/>
      <c r="AX107" s="15">
        <v>0.108</v>
      </c>
      <c r="AY107" s="15">
        <v>0.44800000000000001</v>
      </c>
      <c r="AZ107" s="15">
        <v>0.14499999999999999</v>
      </c>
      <c r="BA107" s="9" t="e">
        <f t="shared" si="1"/>
        <v>#DIV/0!</v>
      </c>
      <c r="BB107" s="16" t="s">
        <v>119</v>
      </c>
    </row>
    <row r="108" spans="1:54" ht="15.75" customHeight="1" x14ac:dyDescent="0.2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F108" s="32"/>
      <c r="G108" s="32"/>
      <c r="H108" s="33" t="s">
        <v>120</v>
      </c>
      <c r="I108" s="1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C108" s="15" t="e">
        <f t="shared" si="0"/>
        <v>#DIV/0!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 t="e">
        <f t="shared" si="1"/>
        <v>#DIV/0!</v>
      </c>
      <c r="BB108" s="11"/>
    </row>
    <row r="109" spans="1:54" ht="15.75" customHeight="1" x14ac:dyDescent="0.2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F109" s="32"/>
      <c r="G109" s="32"/>
      <c r="H109" s="33" t="s">
        <v>121</v>
      </c>
      <c r="I109" s="1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C109" s="15" t="e">
        <f t="shared" si="0"/>
        <v>#DIV/0!</v>
      </c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 t="e">
        <f t="shared" si="1"/>
        <v>#DIV/0!</v>
      </c>
      <c r="BB109" s="11"/>
    </row>
    <row r="110" spans="1:54" ht="15.75" customHeight="1" x14ac:dyDescent="0.2">
      <c r="A110" s="53" t="s">
        <v>114</v>
      </c>
      <c r="B110" s="76" t="s">
        <v>133</v>
      </c>
      <c r="C110" s="2" t="s">
        <v>117</v>
      </c>
      <c r="D110" s="3" t="s">
        <v>64</v>
      </c>
      <c r="E110" s="58">
        <v>2382</v>
      </c>
      <c r="F110" s="32"/>
      <c r="G110" s="32"/>
      <c r="H110" s="33" t="s">
        <v>122</v>
      </c>
      <c r="I110" s="14">
        <v>0</v>
      </c>
      <c r="J110" s="15">
        <v>6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C110" s="15" t="e">
        <f t="shared" si="0"/>
        <v>#DIV/0!</v>
      </c>
      <c r="AD110" s="9"/>
      <c r="AE110" s="9"/>
      <c r="AF110" s="15">
        <v>5.8999999999999997E-2</v>
      </c>
      <c r="AG110" s="9"/>
      <c r="AH110" s="9"/>
      <c r="AI110" s="15">
        <v>4.3999999999999997E-2</v>
      </c>
      <c r="AJ110" s="9"/>
      <c r="AK110" s="9"/>
      <c r="AL110" s="15">
        <v>7.4999999999999997E-2</v>
      </c>
      <c r="AM110" s="9"/>
      <c r="AN110" s="9"/>
      <c r="AO110" s="15">
        <v>5.3999999999999999E-2</v>
      </c>
      <c r="AP110" s="9"/>
      <c r="AQ110" s="9"/>
      <c r="AR110" s="9"/>
      <c r="AS110" s="9"/>
      <c r="AT110" s="9"/>
      <c r="AU110" s="9"/>
      <c r="AV110" s="9"/>
      <c r="AW110" s="9"/>
      <c r="AX110" s="15">
        <v>1.03</v>
      </c>
      <c r="AY110" s="15">
        <v>0.30499999999999999</v>
      </c>
      <c r="AZ110" s="9"/>
      <c r="BA110" s="9" t="e">
        <f t="shared" si="1"/>
        <v>#DIV/0!</v>
      </c>
      <c r="BB110" s="16" t="s">
        <v>123</v>
      </c>
    </row>
    <row r="111" spans="1:54" ht="15.75" customHeight="1" x14ac:dyDescent="0.2">
      <c r="A111" s="53" t="s">
        <v>114</v>
      </c>
      <c r="B111" s="76" t="s">
        <v>133</v>
      </c>
      <c r="C111" s="57" t="s">
        <v>125</v>
      </c>
      <c r="D111" s="54" t="s">
        <v>64</v>
      </c>
      <c r="E111" s="60">
        <v>2383</v>
      </c>
      <c r="F111" s="3"/>
      <c r="G111" s="32"/>
      <c r="H111" s="32"/>
      <c r="I111" s="14">
        <v>0</v>
      </c>
      <c r="J111" s="15">
        <v>7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C111" s="15" t="e">
        <f t="shared" si="0"/>
        <v>#DIV/0!</v>
      </c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 t="e">
        <f t="shared" si="1"/>
        <v>#DIV/0!</v>
      </c>
      <c r="BB111" s="11"/>
    </row>
    <row r="112" spans="1:54" ht="15.75" customHeight="1" x14ac:dyDescent="0.2">
      <c r="A112" s="53" t="s">
        <v>114</v>
      </c>
      <c r="B112" s="76" t="s">
        <v>133</v>
      </c>
      <c r="C112" s="57" t="s">
        <v>126</v>
      </c>
      <c r="D112" s="54" t="s">
        <v>64</v>
      </c>
      <c r="E112" s="57">
        <v>2384</v>
      </c>
      <c r="F112" s="3"/>
      <c r="G112" s="32"/>
      <c r="H112" s="32"/>
      <c r="I112" s="1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C112" s="15" t="e">
        <f t="shared" si="0"/>
        <v>#DIV/0!</v>
      </c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 t="e">
        <f t="shared" si="1"/>
        <v>#DIV/0!</v>
      </c>
      <c r="BB112" s="11"/>
    </row>
    <row r="113" spans="4:54" ht="15.75" customHeight="1" x14ac:dyDescent="0.2">
      <c r="D113" s="3"/>
      <c r="F113" s="3"/>
      <c r="I113" s="1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11"/>
    </row>
    <row r="114" spans="4:54" ht="15.75" customHeight="1" x14ac:dyDescent="0.2">
      <c r="D114" s="3"/>
      <c r="F114" s="3"/>
      <c r="I114" s="1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11"/>
    </row>
    <row r="115" spans="4:54" ht="15.75" customHeight="1" x14ac:dyDescent="0.2">
      <c r="D115" s="3"/>
      <c r="F115" s="3"/>
      <c r="I115" s="1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11"/>
    </row>
    <row r="116" spans="4:54" ht="15.75" customHeight="1" x14ac:dyDescent="0.2">
      <c r="D116" s="3"/>
      <c r="F116" s="3"/>
      <c r="I116" s="1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11"/>
    </row>
    <row r="117" spans="4:54" ht="15.75" customHeight="1" x14ac:dyDescent="0.2">
      <c r="D117" s="3"/>
      <c r="F117" s="3"/>
      <c r="I117" s="1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11"/>
    </row>
    <row r="118" spans="4:54" ht="15.75" customHeight="1" x14ac:dyDescent="0.2">
      <c r="D118" s="3"/>
      <c r="F118" s="3"/>
      <c r="I118" s="1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11"/>
    </row>
    <row r="119" spans="4:54" ht="15.75" customHeight="1" x14ac:dyDescent="0.2">
      <c r="D119" s="3"/>
      <c r="F119" s="3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11"/>
    </row>
    <row r="120" spans="4:54" ht="15.75" customHeight="1" x14ac:dyDescent="0.2">
      <c r="D120" s="3"/>
      <c r="F120" s="3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11"/>
    </row>
    <row r="121" spans="4:54" ht="15.75" customHeight="1" x14ac:dyDescent="0.2">
      <c r="D121" s="3"/>
      <c r="F121" s="3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11"/>
    </row>
    <row r="122" spans="4:54" ht="15.75" customHeight="1" x14ac:dyDescent="0.2">
      <c r="D122" s="3"/>
      <c r="F122" s="3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11"/>
    </row>
    <row r="123" spans="4:54" ht="15.75" customHeight="1" x14ac:dyDescent="0.2">
      <c r="D123" s="3"/>
      <c r="F123" s="3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11"/>
    </row>
    <row r="124" spans="4:54" ht="15.75" customHeight="1" x14ac:dyDescent="0.2">
      <c r="D124" s="3"/>
      <c r="F124" s="3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11"/>
    </row>
    <row r="125" spans="4:54" ht="15.75" customHeight="1" x14ac:dyDescent="0.2">
      <c r="D125" s="3"/>
      <c r="F125" s="3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11"/>
    </row>
    <row r="126" spans="4:54" ht="15.75" customHeight="1" x14ac:dyDescent="0.2">
      <c r="D126" s="3"/>
      <c r="F126" s="3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11"/>
    </row>
    <row r="127" spans="4:54" ht="15.75" customHeight="1" x14ac:dyDescent="0.2">
      <c r="D127" s="3"/>
      <c r="F127" s="3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11"/>
    </row>
    <row r="128" spans="4:54" ht="15.75" customHeight="1" x14ac:dyDescent="0.2">
      <c r="D128" s="3"/>
      <c r="F128" s="3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11"/>
    </row>
    <row r="129" spans="4:54" ht="15.75" customHeight="1" x14ac:dyDescent="0.2">
      <c r="D129" s="3"/>
      <c r="F129" s="3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11"/>
    </row>
    <row r="130" spans="4:54" ht="15.75" customHeight="1" x14ac:dyDescent="0.2">
      <c r="D130" s="3"/>
      <c r="F130" s="3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11"/>
    </row>
    <row r="131" spans="4:54" ht="15.75" customHeight="1" x14ac:dyDescent="0.2">
      <c r="D131" s="3"/>
      <c r="F131" s="3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11"/>
    </row>
    <row r="132" spans="4:54" ht="15.75" customHeight="1" x14ac:dyDescent="0.2">
      <c r="D132" s="3"/>
      <c r="F132" s="3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11"/>
    </row>
    <row r="133" spans="4:54" ht="15.75" customHeight="1" x14ac:dyDescent="0.2">
      <c r="D133" s="3"/>
      <c r="F133" s="3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11"/>
    </row>
    <row r="134" spans="4:54" ht="15.75" customHeight="1" x14ac:dyDescent="0.2">
      <c r="D134" s="3"/>
      <c r="F134" s="3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11"/>
    </row>
    <row r="135" spans="4:54" ht="15.75" customHeight="1" x14ac:dyDescent="0.2">
      <c r="D135" s="3"/>
      <c r="F135" s="3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11"/>
    </row>
    <row r="136" spans="4:54" ht="15.75" customHeight="1" x14ac:dyDescent="0.2">
      <c r="D136" s="3"/>
      <c r="F136" s="3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11"/>
    </row>
    <row r="137" spans="4:54" ht="15.75" customHeight="1" x14ac:dyDescent="0.2">
      <c r="D137" s="3"/>
      <c r="F137" s="3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11"/>
    </row>
    <row r="138" spans="4:54" ht="15.75" customHeight="1" x14ac:dyDescent="0.2">
      <c r="D138" s="3"/>
      <c r="F138" s="3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11"/>
    </row>
    <row r="139" spans="4:54" ht="15.75" customHeight="1" x14ac:dyDescent="0.2">
      <c r="D139" s="3"/>
      <c r="F139" s="3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11"/>
    </row>
    <row r="140" spans="4:54" ht="15.75" customHeight="1" x14ac:dyDescent="0.2">
      <c r="D140" s="3"/>
      <c r="F140" s="3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11"/>
    </row>
    <row r="141" spans="4:54" ht="15.75" customHeight="1" x14ac:dyDescent="0.2">
      <c r="D141" s="3"/>
      <c r="F141" s="3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11"/>
    </row>
    <row r="142" spans="4:54" ht="15.75" customHeight="1" x14ac:dyDescent="0.2">
      <c r="D142" s="3"/>
      <c r="F142" s="3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11"/>
    </row>
    <row r="143" spans="4:54" ht="15.75" customHeight="1" x14ac:dyDescent="0.2">
      <c r="D143" s="3"/>
      <c r="F143" s="3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11"/>
    </row>
    <row r="144" spans="4:54" ht="15.75" customHeight="1" x14ac:dyDescent="0.2">
      <c r="D144" s="3"/>
      <c r="F144" s="3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11"/>
    </row>
    <row r="145" spans="4:54" ht="15.75" customHeight="1" x14ac:dyDescent="0.2">
      <c r="D145" s="3"/>
      <c r="F145" s="3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11"/>
    </row>
    <row r="146" spans="4:54" ht="15.75" customHeight="1" x14ac:dyDescent="0.2">
      <c r="D146" s="3"/>
      <c r="F146" s="3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11"/>
    </row>
    <row r="147" spans="4:54" ht="15.75" customHeight="1" x14ac:dyDescent="0.2">
      <c r="D147" s="3"/>
      <c r="F147" s="3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11"/>
    </row>
    <row r="148" spans="4:54" ht="15.75" customHeight="1" x14ac:dyDescent="0.2">
      <c r="D148" s="3"/>
      <c r="F148" s="3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11"/>
    </row>
    <row r="149" spans="4:54" ht="15.75" customHeight="1" x14ac:dyDescent="0.2">
      <c r="D149" s="3"/>
      <c r="F149" s="3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11"/>
    </row>
    <row r="150" spans="4:54" ht="15.75" customHeight="1" x14ac:dyDescent="0.2">
      <c r="D150" s="3"/>
      <c r="F150" s="3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11"/>
    </row>
    <row r="151" spans="4:54" ht="15.75" customHeight="1" x14ac:dyDescent="0.2">
      <c r="D151" s="3"/>
      <c r="F151" s="3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11"/>
    </row>
    <row r="152" spans="4:54" ht="15.75" customHeight="1" x14ac:dyDescent="0.2">
      <c r="D152" s="3"/>
      <c r="F152" s="3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11"/>
    </row>
    <row r="153" spans="4:54" ht="15.75" customHeight="1" x14ac:dyDescent="0.2">
      <c r="D153" s="3"/>
      <c r="F153" s="3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11"/>
    </row>
    <row r="154" spans="4:54" ht="15.75" customHeight="1" x14ac:dyDescent="0.2">
      <c r="D154" s="3"/>
      <c r="F154" s="3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11"/>
    </row>
    <row r="155" spans="4:54" ht="15.75" customHeight="1" x14ac:dyDescent="0.2">
      <c r="D155" s="3"/>
      <c r="F155" s="3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11"/>
    </row>
    <row r="156" spans="4:54" ht="15.75" customHeight="1" x14ac:dyDescent="0.2">
      <c r="D156" s="3"/>
      <c r="F156" s="3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11"/>
    </row>
    <row r="157" spans="4:54" ht="15.75" customHeight="1" x14ac:dyDescent="0.2">
      <c r="D157" s="3"/>
      <c r="F157" s="3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11"/>
    </row>
    <row r="158" spans="4:54" ht="15.75" customHeight="1" x14ac:dyDescent="0.2">
      <c r="D158" s="3"/>
      <c r="F158" s="3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11"/>
    </row>
    <row r="159" spans="4:54" ht="15.75" customHeight="1" x14ac:dyDescent="0.2">
      <c r="D159" s="3"/>
      <c r="F159" s="3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11"/>
    </row>
    <row r="160" spans="4:54" ht="15.75" customHeight="1" x14ac:dyDescent="0.2">
      <c r="D160" s="3"/>
      <c r="F160" s="3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11"/>
    </row>
    <row r="161" spans="4:54" ht="15.75" customHeight="1" x14ac:dyDescent="0.2">
      <c r="D161" s="3"/>
      <c r="F161" s="3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11"/>
    </row>
    <row r="162" spans="4:54" ht="15.75" customHeight="1" x14ac:dyDescent="0.2">
      <c r="D162" s="3"/>
      <c r="F162" s="3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11"/>
    </row>
    <row r="163" spans="4:54" ht="15.75" customHeight="1" x14ac:dyDescent="0.2">
      <c r="D163" s="3"/>
      <c r="F163" s="3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11"/>
    </row>
    <row r="164" spans="4:54" ht="15.75" customHeight="1" x14ac:dyDescent="0.2">
      <c r="D164" s="3"/>
      <c r="F164" s="3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11"/>
    </row>
    <row r="165" spans="4:54" ht="15.75" customHeight="1" x14ac:dyDescent="0.2">
      <c r="D165" s="3"/>
      <c r="F165" s="3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11"/>
    </row>
    <row r="166" spans="4:54" ht="15.75" customHeight="1" x14ac:dyDescent="0.2">
      <c r="D166" s="3"/>
      <c r="F166" s="3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11"/>
    </row>
    <row r="167" spans="4:54" ht="15.75" customHeight="1" x14ac:dyDescent="0.2">
      <c r="D167" s="3"/>
      <c r="F167" s="3"/>
      <c r="I167" s="1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11"/>
    </row>
    <row r="168" spans="4:54" ht="15.75" customHeight="1" x14ac:dyDescent="0.2">
      <c r="D168" s="3"/>
      <c r="F168" s="3"/>
      <c r="I168" s="1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11"/>
    </row>
    <row r="169" spans="4:54" ht="15.75" customHeight="1" x14ac:dyDescent="0.2">
      <c r="D169" s="3"/>
      <c r="F169" s="3"/>
      <c r="I169" s="1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11"/>
    </row>
    <row r="170" spans="4:54" ht="15.75" customHeight="1" x14ac:dyDescent="0.2">
      <c r="D170" s="3"/>
      <c r="F170" s="3"/>
      <c r="I170" s="1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11"/>
    </row>
    <row r="171" spans="4:54" ht="15.75" customHeight="1" x14ac:dyDescent="0.2">
      <c r="D171" s="3"/>
      <c r="F171" s="3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11"/>
    </row>
    <row r="172" spans="4:54" ht="15.75" customHeight="1" x14ac:dyDescent="0.2">
      <c r="D172" s="3"/>
      <c r="F172" s="3"/>
      <c r="I172" s="1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11"/>
    </row>
    <row r="173" spans="4:54" ht="15.75" customHeight="1" x14ac:dyDescent="0.2">
      <c r="D173" s="3"/>
      <c r="F173" s="3"/>
      <c r="I173" s="1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11"/>
    </row>
    <row r="174" spans="4:54" ht="15.75" customHeight="1" x14ac:dyDescent="0.2">
      <c r="D174" s="3"/>
      <c r="F174" s="3"/>
      <c r="I174" s="1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11"/>
    </row>
    <row r="175" spans="4:54" ht="15.75" customHeight="1" x14ac:dyDescent="0.2">
      <c r="D175" s="3"/>
      <c r="F175" s="3"/>
      <c r="I175" s="1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11"/>
    </row>
    <row r="176" spans="4:54" ht="15.75" customHeight="1" x14ac:dyDescent="0.2">
      <c r="D176" s="3"/>
      <c r="F176" s="3"/>
      <c r="I176" s="1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11"/>
    </row>
    <row r="177" spans="4:54" ht="15.75" customHeight="1" x14ac:dyDescent="0.2">
      <c r="D177" s="3"/>
      <c r="F177" s="3"/>
      <c r="I177" s="1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11"/>
    </row>
    <row r="178" spans="4:54" ht="15.75" customHeight="1" x14ac:dyDescent="0.2">
      <c r="D178" s="3"/>
      <c r="F178" s="3"/>
      <c r="I178" s="1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11"/>
    </row>
    <row r="179" spans="4:54" ht="15.75" customHeight="1" x14ac:dyDescent="0.2">
      <c r="D179" s="3"/>
      <c r="F179" s="3"/>
      <c r="I179" s="1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11"/>
    </row>
    <row r="180" spans="4:54" ht="15.75" customHeight="1" x14ac:dyDescent="0.2">
      <c r="D180" s="3"/>
      <c r="F180" s="3"/>
      <c r="I180" s="1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11"/>
    </row>
    <row r="181" spans="4:54" ht="15.75" customHeight="1" x14ac:dyDescent="0.2">
      <c r="D181" s="3"/>
      <c r="F181" s="3"/>
      <c r="I181" s="1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11"/>
    </row>
    <row r="182" spans="4:54" ht="15.75" customHeight="1" x14ac:dyDescent="0.2">
      <c r="D182" s="3"/>
      <c r="F182" s="3"/>
      <c r="I182" s="1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11"/>
    </row>
    <row r="183" spans="4:54" ht="15.75" customHeight="1" x14ac:dyDescent="0.2">
      <c r="D183" s="3"/>
      <c r="F183" s="3"/>
      <c r="I183" s="1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11"/>
    </row>
    <row r="184" spans="4:54" ht="15.75" customHeight="1" x14ac:dyDescent="0.2">
      <c r="D184" s="3"/>
      <c r="F184" s="3"/>
      <c r="I184" s="1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11"/>
    </row>
    <row r="185" spans="4:54" ht="15.75" customHeight="1" x14ac:dyDescent="0.2">
      <c r="D185" s="3"/>
      <c r="F185" s="3"/>
      <c r="I185" s="1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11"/>
    </row>
    <row r="186" spans="4:54" ht="15.75" customHeight="1" x14ac:dyDescent="0.2">
      <c r="D186" s="3"/>
      <c r="F186" s="3"/>
      <c r="I186" s="1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11"/>
    </row>
    <row r="187" spans="4:54" ht="15.75" customHeight="1" x14ac:dyDescent="0.2">
      <c r="D187" s="3"/>
      <c r="F187" s="3"/>
      <c r="I187" s="1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11"/>
    </row>
    <row r="188" spans="4:54" ht="15.75" customHeight="1" x14ac:dyDescent="0.2">
      <c r="D188" s="3"/>
      <c r="F188" s="3"/>
      <c r="I188" s="1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11"/>
    </row>
    <row r="189" spans="4:54" ht="15.75" customHeight="1" x14ac:dyDescent="0.2">
      <c r="D189" s="3"/>
      <c r="F189" s="3"/>
      <c r="I189" s="1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11"/>
    </row>
    <row r="190" spans="4:54" ht="15.75" customHeight="1" x14ac:dyDescent="0.2">
      <c r="D190" s="3"/>
      <c r="F190" s="3"/>
      <c r="I190" s="1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11"/>
    </row>
    <row r="191" spans="4:54" ht="15.75" customHeight="1" x14ac:dyDescent="0.2">
      <c r="D191" s="3"/>
      <c r="F191" s="3"/>
      <c r="I191" s="1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11"/>
    </row>
    <row r="192" spans="4:54" ht="15.75" customHeight="1" x14ac:dyDescent="0.2">
      <c r="D192" s="3"/>
      <c r="F192" s="3"/>
      <c r="I192" s="1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11"/>
    </row>
    <row r="193" spans="4:54" ht="15.75" customHeight="1" x14ac:dyDescent="0.2">
      <c r="D193" s="3"/>
      <c r="F193" s="3"/>
      <c r="I193" s="10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11"/>
    </row>
    <row r="194" spans="4:54" ht="15.75" customHeight="1" x14ac:dyDescent="0.2">
      <c r="D194" s="3"/>
      <c r="F194" s="3"/>
      <c r="I194" s="10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11"/>
    </row>
    <row r="195" spans="4:54" ht="15.75" customHeight="1" x14ac:dyDescent="0.2">
      <c r="D195" s="3"/>
      <c r="F195" s="3"/>
      <c r="I195" s="10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11"/>
    </row>
    <row r="196" spans="4:54" ht="15.75" customHeight="1" x14ac:dyDescent="0.2">
      <c r="D196" s="3"/>
      <c r="F196" s="3"/>
      <c r="I196" s="1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11"/>
    </row>
    <row r="197" spans="4:54" ht="15.75" customHeight="1" x14ac:dyDescent="0.2">
      <c r="D197" s="3"/>
      <c r="F197" s="3"/>
      <c r="I197" s="10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11"/>
    </row>
    <row r="198" spans="4:54" ht="15.75" customHeight="1" x14ac:dyDescent="0.2">
      <c r="D198" s="3"/>
      <c r="F198" s="3"/>
      <c r="I198" s="10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11"/>
    </row>
    <row r="199" spans="4:54" ht="15.75" customHeight="1" x14ac:dyDescent="0.2">
      <c r="D199" s="3"/>
      <c r="F199" s="3"/>
      <c r="I199" s="1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11"/>
    </row>
    <row r="200" spans="4:54" ht="15.75" customHeight="1" x14ac:dyDescent="0.2">
      <c r="D200" s="3"/>
      <c r="F200" s="3"/>
      <c r="I200" s="10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11"/>
    </row>
    <row r="201" spans="4:54" ht="15.75" customHeight="1" x14ac:dyDescent="0.2">
      <c r="D201" s="3"/>
      <c r="F201" s="3"/>
      <c r="I201" s="1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11"/>
    </row>
    <row r="202" spans="4:54" ht="15.75" customHeight="1" x14ac:dyDescent="0.2">
      <c r="D202" s="3"/>
      <c r="F202" s="3"/>
      <c r="I202" s="10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11"/>
    </row>
    <row r="203" spans="4:54" ht="15.75" customHeight="1" x14ac:dyDescent="0.2">
      <c r="D203" s="3"/>
      <c r="F203" s="3"/>
      <c r="I203" s="10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11"/>
    </row>
    <row r="204" spans="4:54" ht="15.75" customHeight="1" x14ac:dyDescent="0.2">
      <c r="D204" s="3"/>
      <c r="F204" s="3"/>
      <c r="I204" s="10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11"/>
    </row>
    <row r="205" spans="4:54" ht="15.75" customHeight="1" x14ac:dyDescent="0.2">
      <c r="D205" s="3"/>
      <c r="F205" s="3"/>
      <c r="I205" s="10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11"/>
    </row>
    <row r="206" spans="4:54" ht="15.75" customHeight="1" x14ac:dyDescent="0.2">
      <c r="D206" s="3"/>
      <c r="F206" s="3"/>
      <c r="I206" s="1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11"/>
    </row>
    <row r="207" spans="4:54" ht="15.75" customHeight="1" x14ac:dyDescent="0.2">
      <c r="D207" s="3"/>
      <c r="F207" s="3"/>
      <c r="I207" s="10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11"/>
    </row>
    <row r="208" spans="4:54" ht="15.75" customHeight="1" x14ac:dyDescent="0.2">
      <c r="D208" s="3"/>
      <c r="F208" s="3"/>
      <c r="I208" s="10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11"/>
    </row>
    <row r="209" spans="4:54" ht="15.75" customHeight="1" x14ac:dyDescent="0.2">
      <c r="D209" s="3"/>
      <c r="F209" s="3"/>
      <c r="I209" s="10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11"/>
    </row>
    <row r="210" spans="4:54" ht="15.75" customHeight="1" x14ac:dyDescent="0.2">
      <c r="D210" s="3"/>
      <c r="F210" s="3"/>
      <c r="I210" s="10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11"/>
    </row>
    <row r="211" spans="4:54" ht="15.75" customHeight="1" x14ac:dyDescent="0.2">
      <c r="D211" s="3"/>
      <c r="F211" s="3"/>
      <c r="I211" s="10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11"/>
    </row>
    <row r="212" spans="4:54" ht="15.75" customHeight="1" x14ac:dyDescent="0.2">
      <c r="D212" s="3"/>
      <c r="F212" s="3"/>
      <c r="I212" s="1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11"/>
    </row>
    <row r="213" spans="4:54" ht="15.75" customHeight="1" x14ac:dyDescent="0.2">
      <c r="D213" s="3"/>
      <c r="F213" s="3"/>
      <c r="I213" s="10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11"/>
    </row>
    <row r="214" spans="4:54" ht="15.75" customHeight="1" x14ac:dyDescent="0.2">
      <c r="D214" s="3"/>
      <c r="F214" s="3"/>
      <c r="I214" s="1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11"/>
    </row>
    <row r="215" spans="4:54" ht="15.75" customHeight="1" x14ac:dyDescent="0.2">
      <c r="D215" s="3"/>
      <c r="F215" s="3"/>
      <c r="I215" s="10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11"/>
    </row>
    <row r="216" spans="4:54" ht="15.75" customHeight="1" x14ac:dyDescent="0.2">
      <c r="D216" s="3"/>
      <c r="F216" s="3"/>
      <c r="I216" s="1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11"/>
    </row>
    <row r="217" spans="4:54" ht="15.75" customHeight="1" x14ac:dyDescent="0.2">
      <c r="D217" s="3"/>
      <c r="F217" s="3"/>
      <c r="I217" s="1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11"/>
    </row>
    <row r="218" spans="4:54" ht="15.75" customHeight="1" x14ac:dyDescent="0.2">
      <c r="D218" s="3"/>
      <c r="F218" s="3"/>
      <c r="I218" s="1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11"/>
    </row>
    <row r="219" spans="4:54" ht="15.75" customHeight="1" x14ac:dyDescent="0.2">
      <c r="D219" s="3"/>
      <c r="F219" s="3"/>
      <c r="I219" s="10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11"/>
    </row>
    <row r="220" spans="4:54" ht="15.75" customHeight="1" x14ac:dyDescent="0.2">
      <c r="D220" s="3"/>
      <c r="F220" s="3"/>
      <c r="I220" s="10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11"/>
    </row>
    <row r="221" spans="4:54" ht="15.75" customHeight="1" x14ac:dyDescent="0.2">
      <c r="D221" s="3"/>
      <c r="F221" s="3"/>
      <c r="I221" s="10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11"/>
    </row>
    <row r="222" spans="4:54" ht="15.75" customHeight="1" x14ac:dyDescent="0.2">
      <c r="D222" s="3"/>
      <c r="F222" s="3"/>
      <c r="I222" s="10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11"/>
    </row>
    <row r="223" spans="4:54" ht="15.75" customHeight="1" x14ac:dyDescent="0.2">
      <c r="D223" s="3"/>
      <c r="F223" s="3"/>
      <c r="I223" s="10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11"/>
    </row>
    <row r="224" spans="4:54" ht="15.75" customHeight="1" x14ac:dyDescent="0.2">
      <c r="D224" s="3"/>
      <c r="F224" s="3"/>
      <c r="I224" s="10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11"/>
    </row>
    <row r="225" spans="4:54" ht="15.75" customHeight="1" x14ac:dyDescent="0.2">
      <c r="D225" s="3"/>
      <c r="F225" s="3"/>
      <c r="I225" s="10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11"/>
    </row>
    <row r="226" spans="4:54" ht="15.75" customHeight="1" x14ac:dyDescent="0.2">
      <c r="D226" s="3"/>
      <c r="F226" s="3"/>
      <c r="I226" s="10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11"/>
    </row>
    <row r="227" spans="4:54" ht="15.75" customHeight="1" x14ac:dyDescent="0.2">
      <c r="D227" s="3"/>
      <c r="F227" s="3"/>
      <c r="I227" s="10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11"/>
    </row>
    <row r="228" spans="4:54" ht="15.75" customHeight="1" x14ac:dyDescent="0.2">
      <c r="D228" s="3"/>
      <c r="F228" s="3"/>
      <c r="I228" s="10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11"/>
    </row>
    <row r="229" spans="4:54" ht="15.75" customHeight="1" x14ac:dyDescent="0.2">
      <c r="D229" s="3"/>
      <c r="F229" s="3"/>
      <c r="I229" s="10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11"/>
    </row>
    <row r="230" spans="4:54" ht="15.75" customHeight="1" x14ac:dyDescent="0.2">
      <c r="D230" s="3"/>
      <c r="F230" s="3"/>
      <c r="I230" s="10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11"/>
    </row>
    <row r="231" spans="4:54" ht="15.75" customHeight="1" x14ac:dyDescent="0.2">
      <c r="D231" s="3"/>
      <c r="F231" s="3"/>
      <c r="I231" s="10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11"/>
    </row>
    <row r="232" spans="4:54" ht="15.75" customHeight="1" x14ac:dyDescent="0.2">
      <c r="D232" s="3"/>
      <c r="F232" s="3"/>
      <c r="I232" s="10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11"/>
    </row>
    <row r="233" spans="4:54" ht="15.75" customHeight="1" x14ac:dyDescent="0.2">
      <c r="D233" s="3"/>
      <c r="F233" s="3"/>
      <c r="I233" s="10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11"/>
    </row>
    <row r="234" spans="4:54" ht="15.75" customHeight="1" x14ac:dyDescent="0.2">
      <c r="D234" s="3"/>
      <c r="F234" s="3"/>
      <c r="I234" s="10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11"/>
    </row>
    <row r="235" spans="4:54" ht="15.75" customHeight="1" x14ac:dyDescent="0.2">
      <c r="D235" s="3"/>
      <c r="F235" s="3"/>
      <c r="I235" s="10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11"/>
    </row>
    <row r="236" spans="4:54" ht="15.75" customHeight="1" x14ac:dyDescent="0.2">
      <c r="D236" s="3"/>
      <c r="F236" s="3"/>
      <c r="I236" s="10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11"/>
    </row>
    <row r="237" spans="4:54" ht="15.75" customHeight="1" x14ac:dyDescent="0.2">
      <c r="D237" s="3"/>
      <c r="F237" s="3"/>
      <c r="I237" s="10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11"/>
    </row>
    <row r="238" spans="4:54" ht="15.75" customHeight="1" x14ac:dyDescent="0.2">
      <c r="D238" s="3"/>
      <c r="F238" s="3"/>
      <c r="I238" s="10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11"/>
    </row>
    <row r="239" spans="4:54" ht="15.75" customHeight="1" x14ac:dyDescent="0.2">
      <c r="D239" s="3"/>
      <c r="F239" s="3"/>
      <c r="I239" s="10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11"/>
    </row>
    <row r="240" spans="4:54" ht="15.75" customHeight="1" x14ac:dyDescent="0.2">
      <c r="D240" s="3"/>
      <c r="F240" s="3"/>
      <c r="I240" s="10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11"/>
    </row>
    <row r="241" spans="4:54" ht="15.75" customHeight="1" x14ac:dyDescent="0.2">
      <c r="D241" s="3"/>
      <c r="F241" s="3"/>
      <c r="I241" s="10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11"/>
    </row>
    <row r="242" spans="4:54" ht="15.75" customHeight="1" x14ac:dyDescent="0.2">
      <c r="D242" s="3"/>
      <c r="F242" s="3"/>
      <c r="I242" s="10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11"/>
    </row>
    <row r="243" spans="4:54" ht="15.75" customHeight="1" x14ac:dyDescent="0.2">
      <c r="D243" s="3"/>
      <c r="F243" s="3"/>
      <c r="I243" s="10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11"/>
    </row>
    <row r="244" spans="4:54" ht="15.75" customHeight="1" x14ac:dyDescent="0.2">
      <c r="D244" s="3"/>
      <c r="F244" s="3"/>
      <c r="I244" s="10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11"/>
    </row>
    <row r="245" spans="4:54" ht="15.75" customHeight="1" x14ac:dyDescent="0.2">
      <c r="D245" s="3"/>
      <c r="F245" s="3"/>
      <c r="I245" s="10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11"/>
    </row>
    <row r="246" spans="4:54" ht="15.75" customHeight="1" x14ac:dyDescent="0.2">
      <c r="D246" s="3"/>
      <c r="F246" s="3"/>
      <c r="I246" s="10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11"/>
    </row>
    <row r="247" spans="4:54" ht="15.75" customHeight="1" x14ac:dyDescent="0.2">
      <c r="D247" s="3"/>
      <c r="F247" s="3"/>
      <c r="I247" s="10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11"/>
    </row>
    <row r="248" spans="4:54" ht="15.75" customHeight="1" x14ac:dyDescent="0.2">
      <c r="D248" s="3"/>
      <c r="F248" s="3"/>
      <c r="I248" s="10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11"/>
    </row>
    <row r="249" spans="4:54" ht="15.75" customHeight="1" x14ac:dyDescent="0.2">
      <c r="D249" s="3"/>
      <c r="F249" s="3"/>
      <c r="I249" s="10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11"/>
    </row>
    <row r="250" spans="4:54" ht="15.75" customHeight="1" x14ac:dyDescent="0.2">
      <c r="D250" s="3"/>
      <c r="F250" s="3"/>
      <c r="I250" s="10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11"/>
    </row>
    <row r="251" spans="4:54" ht="15.75" customHeight="1" x14ac:dyDescent="0.2">
      <c r="D251" s="3"/>
      <c r="F251" s="3"/>
      <c r="I251" s="10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11"/>
    </row>
    <row r="252" spans="4:54" ht="15.75" customHeight="1" x14ac:dyDescent="0.2">
      <c r="D252" s="3"/>
      <c r="F252" s="3"/>
      <c r="I252" s="10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11"/>
    </row>
    <row r="253" spans="4:54" ht="15.75" customHeight="1" x14ac:dyDescent="0.2">
      <c r="D253" s="3"/>
      <c r="F253" s="3"/>
      <c r="I253" s="10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11"/>
    </row>
    <row r="254" spans="4:54" ht="15.75" customHeight="1" x14ac:dyDescent="0.2">
      <c r="D254" s="3"/>
      <c r="F254" s="3"/>
      <c r="I254" s="10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11"/>
    </row>
    <row r="255" spans="4:54" ht="15.75" customHeight="1" x14ac:dyDescent="0.2">
      <c r="D255" s="3"/>
      <c r="F255" s="3"/>
      <c r="I255" s="10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11"/>
    </row>
    <row r="256" spans="4:54" ht="15.75" customHeight="1" x14ac:dyDescent="0.2">
      <c r="D256" s="3"/>
      <c r="F256" s="3"/>
      <c r="I256" s="10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11"/>
    </row>
    <row r="257" spans="4:54" ht="15.75" customHeight="1" x14ac:dyDescent="0.2">
      <c r="D257" s="3"/>
      <c r="F257" s="3"/>
      <c r="I257" s="10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11"/>
    </row>
    <row r="258" spans="4:54" ht="15.75" customHeight="1" x14ac:dyDescent="0.2">
      <c r="D258" s="3"/>
      <c r="F258" s="3"/>
      <c r="I258" s="10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11"/>
    </row>
    <row r="259" spans="4:54" ht="15.75" customHeight="1" x14ac:dyDescent="0.2">
      <c r="D259" s="3"/>
      <c r="F259" s="3"/>
      <c r="I259" s="10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11"/>
    </row>
    <row r="260" spans="4:54" ht="15.75" customHeight="1" x14ac:dyDescent="0.2">
      <c r="D260" s="3"/>
      <c r="F260" s="3"/>
      <c r="I260" s="10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11"/>
    </row>
    <row r="261" spans="4:54" ht="15.75" customHeight="1" x14ac:dyDescent="0.2">
      <c r="D261" s="3"/>
      <c r="F261" s="3"/>
      <c r="I261" s="10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11"/>
    </row>
    <row r="262" spans="4:54" ht="15.75" customHeight="1" x14ac:dyDescent="0.2">
      <c r="D262" s="3"/>
      <c r="F262" s="3"/>
      <c r="I262" s="10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11"/>
    </row>
    <row r="263" spans="4:54" ht="15.75" customHeight="1" x14ac:dyDescent="0.2">
      <c r="D263" s="3"/>
      <c r="F263" s="3"/>
      <c r="I263" s="10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11"/>
    </row>
    <row r="264" spans="4:54" ht="15.75" customHeight="1" x14ac:dyDescent="0.2">
      <c r="D264" s="3"/>
      <c r="F264" s="3"/>
      <c r="I264" s="10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11"/>
    </row>
    <row r="265" spans="4:54" ht="15.75" customHeight="1" x14ac:dyDescent="0.2">
      <c r="D265" s="3"/>
      <c r="F265" s="3"/>
      <c r="I265" s="10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11"/>
    </row>
    <row r="266" spans="4:54" ht="15.75" customHeight="1" x14ac:dyDescent="0.2">
      <c r="D266" s="3"/>
      <c r="F266" s="3"/>
      <c r="I266" s="10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11"/>
    </row>
    <row r="267" spans="4:54" ht="15.75" customHeight="1" x14ac:dyDescent="0.2">
      <c r="D267" s="3"/>
      <c r="F267" s="3"/>
      <c r="I267" s="10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11"/>
    </row>
    <row r="268" spans="4:54" ht="15.75" customHeight="1" x14ac:dyDescent="0.2">
      <c r="D268" s="3"/>
      <c r="F268" s="3"/>
      <c r="I268" s="10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11"/>
    </row>
    <row r="269" spans="4:54" ht="15.75" customHeight="1" x14ac:dyDescent="0.2">
      <c r="D269" s="3"/>
      <c r="F269" s="3"/>
      <c r="I269" s="10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11"/>
    </row>
    <row r="270" spans="4:54" ht="15.75" customHeight="1" x14ac:dyDescent="0.2">
      <c r="I270" s="10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11"/>
    </row>
    <row r="271" spans="4:54" ht="15.75" customHeight="1" x14ac:dyDescent="0.2">
      <c r="I271" s="10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11"/>
    </row>
    <row r="272" spans="4:54" ht="15.75" customHeight="1" x14ac:dyDescent="0.2">
      <c r="I272" s="10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11"/>
    </row>
    <row r="273" spans="9:54" ht="15.75" customHeight="1" x14ac:dyDescent="0.2">
      <c r="I273" s="10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11"/>
    </row>
    <row r="274" spans="9:54" ht="15.75" customHeight="1" x14ac:dyDescent="0.2">
      <c r="I274" s="10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11"/>
    </row>
    <row r="275" spans="9:54" ht="15.75" customHeight="1" x14ac:dyDescent="0.2">
      <c r="I275" s="10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11"/>
    </row>
    <row r="276" spans="9:54" ht="15.75" customHeight="1" x14ac:dyDescent="0.2">
      <c r="I276" s="10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11"/>
    </row>
    <row r="277" spans="9:54" ht="15.75" customHeight="1" x14ac:dyDescent="0.2">
      <c r="I277" s="10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11"/>
    </row>
    <row r="278" spans="9:54" ht="15.75" customHeight="1" x14ac:dyDescent="0.2">
      <c r="I278" s="10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11"/>
    </row>
    <row r="279" spans="9:54" ht="15.75" customHeight="1" x14ac:dyDescent="0.2">
      <c r="I279" s="10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11"/>
    </row>
    <row r="280" spans="9:54" ht="15.75" customHeight="1" x14ac:dyDescent="0.2">
      <c r="I280" s="10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11"/>
    </row>
    <row r="281" spans="9:54" ht="15.75" customHeight="1" x14ac:dyDescent="0.2">
      <c r="I281" s="10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11"/>
    </row>
    <row r="282" spans="9:54" ht="15.75" customHeight="1" x14ac:dyDescent="0.2">
      <c r="I282" s="10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11"/>
    </row>
    <row r="283" spans="9:54" ht="15.75" customHeight="1" x14ac:dyDescent="0.2">
      <c r="I283" s="10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11"/>
    </row>
    <row r="284" spans="9:54" ht="15.75" customHeight="1" x14ac:dyDescent="0.2">
      <c r="I284" s="10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11"/>
    </row>
    <row r="285" spans="9:54" ht="15.75" customHeight="1" x14ac:dyDescent="0.2">
      <c r="I285" s="10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11"/>
    </row>
    <row r="286" spans="9:54" ht="15.75" customHeight="1" x14ac:dyDescent="0.2">
      <c r="I286" s="10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11"/>
    </row>
    <row r="287" spans="9:54" ht="15.75" customHeight="1" x14ac:dyDescent="0.2">
      <c r="I287" s="10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11"/>
    </row>
    <row r="288" spans="9:54" ht="15.75" customHeight="1" x14ac:dyDescent="0.2">
      <c r="I288" s="10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11"/>
    </row>
    <row r="289" spans="9:54" ht="15.75" customHeight="1" x14ac:dyDescent="0.2">
      <c r="I289" s="10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11"/>
    </row>
    <row r="290" spans="9:54" ht="15.75" customHeight="1" x14ac:dyDescent="0.2">
      <c r="I290" s="10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11"/>
    </row>
    <row r="291" spans="9:54" ht="15.75" customHeight="1" x14ac:dyDescent="0.2">
      <c r="I291" s="10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11"/>
    </row>
    <row r="292" spans="9:54" ht="15.75" customHeight="1" x14ac:dyDescent="0.2">
      <c r="I292" s="10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11"/>
    </row>
    <row r="293" spans="9:54" ht="15.75" customHeight="1" x14ac:dyDescent="0.2">
      <c r="I293" s="10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11"/>
    </row>
    <row r="294" spans="9:54" ht="15.75" customHeight="1" x14ac:dyDescent="0.2">
      <c r="I294" s="10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11"/>
    </row>
    <row r="295" spans="9:54" ht="15.75" customHeight="1" x14ac:dyDescent="0.2">
      <c r="I295" s="10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11"/>
    </row>
    <row r="296" spans="9:54" ht="15.75" customHeight="1" x14ac:dyDescent="0.2">
      <c r="I296" s="10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11"/>
    </row>
    <row r="297" spans="9:54" ht="15.75" customHeight="1" x14ac:dyDescent="0.2">
      <c r="I297" s="10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11"/>
    </row>
    <row r="298" spans="9:54" ht="15.75" customHeight="1" x14ac:dyDescent="0.2">
      <c r="I298" s="10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11"/>
    </row>
    <row r="299" spans="9:54" ht="15.75" customHeight="1" x14ac:dyDescent="0.2">
      <c r="I299" s="10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11"/>
    </row>
    <row r="300" spans="9:54" ht="15.75" customHeight="1" x14ac:dyDescent="0.2">
      <c r="I300" s="10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11"/>
    </row>
    <row r="301" spans="9:54" ht="15.75" customHeight="1" x14ac:dyDescent="0.2">
      <c r="I301" s="10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11"/>
    </row>
    <row r="302" spans="9:54" ht="15.75" customHeight="1" x14ac:dyDescent="0.2">
      <c r="I302" s="10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11"/>
    </row>
    <row r="303" spans="9:54" ht="15.75" customHeight="1" x14ac:dyDescent="0.2">
      <c r="I303" s="10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11"/>
    </row>
    <row r="304" spans="9:54" ht="15.75" customHeight="1" x14ac:dyDescent="0.2">
      <c r="I304" s="10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11"/>
    </row>
    <row r="305" spans="9:54" ht="15.75" customHeight="1" x14ac:dyDescent="0.2">
      <c r="I305" s="10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11"/>
    </row>
    <row r="306" spans="9:54" ht="15.75" customHeight="1" x14ac:dyDescent="0.2">
      <c r="I306" s="10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11"/>
    </row>
    <row r="307" spans="9:54" ht="15.75" customHeight="1" x14ac:dyDescent="0.2">
      <c r="I307" s="10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11"/>
    </row>
    <row r="308" spans="9:54" ht="15.75" customHeight="1" x14ac:dyDescent="0.2">
      <c r="I308" s="10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11"/>
    </row>
    <row r="309" spans="9:54" ht="15.75" customHeight="1" x14ac:dyDescent="0.2">
      <c r="I309" s="10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11"/>
    </row>
    <row r="310" spans="9:54" ht="15.75" customHeight="1" x14ac:dyDescent="0.2">
      <c r="I310" s="10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11"/>
    </row>
    <row r="311" spans="9:54" ht="15.75" customHeight="1" x14ac:dyDescent="0.2">
      <c r="I311" s="10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11"/>
    </row>
    <row r="312" spans="9:54" ht="15.75" customHeight="1" x14ac:dyDescent="0.2">
      <c r="I312" s="10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11"/>
    </row>
    <row r="313" spans="9:54" ht="15.75" customHeight="1" x14ac:dyDescent="0.2">
      <c r="I313" s="10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11"/>
    </row>
    <row r="314" spans="9:54" ht="15.75" customHeight="1" x14ac:dyDescent="0.2">
      <c r="I314" s="10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11"/>
    </row>
    <row r="315" spans="9:54" ht="15.75" customHeight="1" x14ac:dyDescent="0.2">
      <c r="I315" s="10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11"/>
    </row>
    <row r="316" spans="9:54" ht="15.75" customHeight="1" x14ac:dyDescent="0.2">
      <c r="I316" s="10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11"/>
    </row>
    <row r="317" spans="9:54" ht="15.75" customHeight="1" x14ac:dyDescent="0.2">
      <c r="I317" s="10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11"/>
    </row>
    <row r="318" spans="9:54" ht="15.75" customHeight="1" x14ac:dyDescent="0.2">
      <c r="I318" s="10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11"/>
    </row>
    <row r="319" spans="9:54" ht="15.75" customHeight="1" x14ac:dyDescent="0.2">
      <c r="I319" s="10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11"/>
    </row>
    <row r="320" spans="9:54" ht="15.75" customHeight="1" x14ac:dyDescent="0.2">
      <c r="I320" s="10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11"/>
    </row>
    <row r="321" spans="9:54" ht="15.75" customHeight="1" x14ac:dyDescent="0.2">
      <c r="I321" s="10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11"/>
    </row>
    <row r="322" spans="9:54" ht="15.75" customHeight="1" x14ac:dyDescent="0.2">
      <c r="I322" s="10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11"/>
    </row>
    <row r="323" spans="9:54" ht="15.75" customHeight="1" x14ac:dyDescent="0.2">
      <c r="I323" s="10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11"/>
    </row>
    <row r="324" spans="9:54" ht="15.75" customHeight="1" x14ac:dyDescent="0.2">
      <c r="I324" s="10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11"/>
    </row>
    <row r="325" spans="9:54" ht="15.75" customHeight="1" x14ac:dyDescent="0.2">
      <c r="I325" s="10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11"/>
    </row>
    <row r="326" spans="9:54" ht="15.75" customHeight="1" x14ac:dyDescent="0.2">
      <c r="I326" s="10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11"/>
    </row>
    <row r="327" spans="9:54" ht="15.75" customHeight="1" x14ac:dyDescent="0.2">
      <c r="I327" s="10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11"/>
    </row>
    <row r="328" spans="9:54" ht="15.75" customHeight="1" x14ac:dyDescent="0.2">
      <c r="I328" s="10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11"/>
    </row>
    <row r="329" spans="9:54" ht="15.75" customHeight="1" x14ac:dyDescent="0.2">
      <c r="I329" s="10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11"/>
    </row>
    <row r="330" spans="9:54" ht="15.75" customHeight="1" x14ac:dyDescent="0.2">
      <c r="I330" s="10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11"/>
    </row>
    <row r="331" spans="9:54" ht="15.75" customHeight="1" x14ac:dyDescent="0.2">
      <c r="I331" s="10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11"/>
    </row>
    <row r="332" spans="9:54" ht="15.75" customHeight="1" x14ac:dyDescent="0.2">
      <c r="I332" s="10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11"/>
    </row>
    <row r="333" spans="9:54" ht="15.75" customHeight="1" x14ac:dyDescent="0.2">
      <c r="I333" s="10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11"/>
    </row>
    <row r="334" spans="9:54" ht="15.75" customHeight="1" x14ac:dyDescent="0.2">
      <c r="I334" s="10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11"/>
    </row>
    <row r="335" spans="9:54" ht="15.75" customHeight="1" x14ac:dyDescent="0.2">
      <c r="I335" s="10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11"/>
    </row>
    <row r="336" spans="9:54" ht="15.75" customHeight="1" x14ac:dyDescent="0.2">
      <c r="I336" s="10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11"/>
    </row>
    <row r="337" spans="9:54" ht="15.75" customHeight="1" x14ac:dyDescent="0.2">
      <c r="I337" s="10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11"/>
    </row>
    <row r="338" spans="9:54" ht="15.75" customHeight="1" x14ac:dyDescent="0.2">
      <c r="I338" s="10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11"/>
    </row>
    <row r="339" spans="9:54" ht="15.75" customHeight="1" x14ac:dyDescent="0.2">
      <c r="I339" s="10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11"/>
    </row>
    <row r="340" spans="9:54" ht="15.75" customHeight="1" x14ac:dyDescent="0.2">
      <c r="I340" s="10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11"/>
    </row>
    <row r="341" spans="9:54" ht="15.75" customHeight="1" x14ac:dyDescent="0.2">
      <c r="I341" s="10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11"/>
    </row>
    <row r="342" spans="9:54" ht="15.75" customHeight="1" x14ac:dyDescent="0.2">
      <c r="I342" s="10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11"/>
    </row>
    <row r="343" spans="9:54" ht="15.75" customHeight="1" x14ac:dyDescent="0.2">
      <c r="I343" s="10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11"/>
    </row>
    <row r="344" spans="9:54" ht="15.75" customHeight="1" x14ac:dyDescent="0.2">
      <c r="I344" s="10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11"/>
    </row>
    <row r="345" spans="9:54" ht="15.75" customHeight="1" x14ac:dyDescent="0.2">
      <c r="I345" s="10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11"/>
    </row>
    <row r="346" spans="9:54" ht="15.75" customHeight="1" x14ac:dyDescent="0.2">
      <c r="I346" s="10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11"/>
    </row>
    <row r="347" spans="9:54" ht="15.75" customHeight="1" x14ac:dyDescent="0.2">
      <c r="I347" s="10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11"/>
    </row>
    <row r="348" spans="9:54" ht="15.75" customHeight="1" x14ac:dyDescent="0.2">
      <c r="I348" s="10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11"/>
    </row>
    <row r="349" spans="9:54" ht="15.75" customHeight="1" x14ac:dyDescent="0.2">
      <c r="I349" s="10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11"/>
    </row>
    <row r="350" spans="9:54" ht="15.75" customHeight="1" x14ac:dyDescent="0.2">
      <c r="I350" s="10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11"/>
    </row>
    <row r="351" spans="9:54" ht="15.75" customHeight="1" x14ac:dyDescent="0.2">
      <c r="I351" s="10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11"/>
    </row>
    <row r="352" spans="9:54" ht="15.75" customHeight="1" x14ac:dyDescent="0.2">
      <c r="I352" s="10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11"/>
    </row>
    <row r="353" spans="9:54" ht="15.75" customHeight="1" x14ac:dyDescent="0.2">
      <c r="I353" s="10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11"/>
    </row>
    <row r="354" spans="9:54" ht="15.75" customHeight="1" x14ac:dyDescent="0.2">
      <c r="I354" s="10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11"/>
    </row>
    <row r="355" spans="9:54" ht="15.75" customHeight="1" x14ac:dyDescent="0.2">
      <c r="I355" s="10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11"/>
    </row>
    <row r="356" spans="9:54" ht="15.75" customHeight="1" x14ac:dyDescent="0.2">
      <c r="I356" s="10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11"/>
    </row>
    <row r="357" spans="9:54" ht="15.75" customHeight="1" x14ac:dyDescent="0.2">
      <c r="I357" s="10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11"/>
    </row>
    <row r="358" spans="9:54" ht="15.75" customHeight="1" x14ac:dyDescent="0.2">
      <c r="I358" s="10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11"/>
    </row>
    <row r="359" spans="9:54" ht="15.75" customHeight="1" x14ac:dyDescent="0.2">
      <c r="I359" s="10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11"/>
    </row>
    <row r="360" spans="9:54" ht="15.75" customHeight="1" x14ac:dyDescent="0.2">
      <c r="I360" s="10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11"/>
    </row>
    <row r="361" spans="9:54" ht="15.75" customHeight="1" x14ac:dyDescent="0.2">
      <c r="I361" s="10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11"/>
    </row>
    <row r="362" spans="9:54" ht="15.75" customHeight="1" x14ac:dyDescent="0.2">
      <c r="I362" s="10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11"/>
    </row>
    <row r="363" spans="9:54" ht="15.75" customHeight="1" x14ac:dyDescent="0.2">
      <c r="I363" s="10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11"/>
    </row>
    <row r="364" spans="9:54" ht="15.75" customHeight="1" x14ac:dyDescent="0.2">
      <c r="I364" s="10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11"/>
    </row>
    <row r="365" spans="9:54" ht="15.75" customHeight="1" x14ac:dyDescent="0.2">
      <c r="I365" s="10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11"/>
    </row>
    <row r="366" spans="9:54" ht="15.75" customHeight="1" x14ac:dyDescent="0.2">
      <c r="I366" s="10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11"/>
    </row>
    <row r="367" spans="9:54" ht="15.75" customHeight="1" x14ac:dyDescent="0.2">
      <c r="I367" s="10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11"/>
    </row>
    <row r="368" spans="9:54" ht="15.75" customHeight="1" x14ac:dyDescent="0.2">
      <c r="I368" s="10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11"/>
    </row>
    <row r="369" spans="9:54" ht="15.75" customHeight="1" x14ac:dyDescent="0.2">
      <c r="I369" s="10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11"/>
    </row>
    <row r="370" spans="9:54" ht="15.75" customHeight="1" x14ac:dyDescent="0.2">
      <c r="I370" s="10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11"/>
    </row>
    <row r="371" spans="9:54" ht="15.75" customHeight="1" x14ac:dyDescent="0.2">
      <c r="I371" s="10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11"/>
    </row>
    <row r="372" spans="9:54" ht="15.75" customHeight="1" x14ac:dyDescent="0.2">
      <c r="I372" s="10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11"/>
    </row>
    <row r="373" spans="9:54" ht="15.75" customHeight="1" x14ac:dyDescent="0.2">
      <c r="I373" s="10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11"/>
    </row>
    <row r="374" spans="9:54" ht="15.75" customHeight="1" x14ac:dyDescent="0.2">
      <c r="I374" s="10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11"/>
    </row>
    <row r="375" spans="9:54" ht="15.75" customHeight="1" x14ac:dyDescent="0.2">
      <c r="I375" s="10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11"/>
    </row>
    <row r="376" spans="9:54" ht="15.75" customHeight="1" x14ac:dyDescent="0.2">
      <c r="I376" s="10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11"/>
    </row>
    <row r="377" spans="9:54" ht="15.75" customHeight="1" x14ac:dyDescent="0.2">
      <c r="I377" s="10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11"/>
    </row>
    <row r="378" spans="9:54" ht="15.75" customHeight="1" x14ac:dyDescent="0.2">
      <c r="I378" s="10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11"/>
    </row>
    <row r="379" spans="9:54" ht="15.75" customHeight="1" x14ac:dyDescent="0.2">
      <c r="I379" s="10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11"/>
    </row>
    <row r="380" spans="9:54" ht="15.75" customHeight="1" x14ac:dyDescent="0.2">
      <c r="I380" s="10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11"/>
    </row>
    <row r="381" spans="9:54" ht="15.75" customHeight="1" x14ac:dyDescent="0.2">
      <c r="I381" s="10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11"/>
    </row>
    <row r="382" spans="9:54" ht="15.75" customHeight="1" x14ac:dyDescent="0.2">
      <c r="I382" s="10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11"/>
    </row>
    <row r="383" spans="9:54" ht="15.75" customHeight="1" x14ac:dyDescent="0.2">
      <c r="I383" s="10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11"/>
    </row>
    <row r="384" spans="9:54" ht="15.75" customHeight="1" x14ac:dyDescent="0.2">
      <c r="I384" s="10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11"/>
    </row>
    <row r="385" spans="9:54" ht="15.75" customHeight="1" x14ac:dyDescent="0.2">
      <c r="I385" s="10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11"/>
    </row>
    <row r="386" spans="9:54" ht="15.75" customHeight="1" x14ac:dyDescent="0.2">
      <c r="I386" s="10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11"/>
    </row>
    <row r="387" spans="9:54" ht="15.75" customHeight="1" x14ac:dyDescent="0.2">
      <c r="I387" s="10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11"/>
    </row>
    <row r="388" spans="9:54" ht="15.75" customHeight="1" x14ac:dyDescent="0.2">
      <c r="I388" s="10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11"/>
    </row>
    <row r="389" spans="9:54" ht="15.75" customHeight="1" x14ac:dyDescent="0.2">
      <c r="I389" s="10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11"/>
    </row>
    <row r="390" spans="9:54" ht="15.75" customHeight="1" x14ac:dyDescent="0.2">
      <c r="I390" s="10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11"/>
    </row>
    <row r="391" spans="9:54" ht="15.75" customHeight="1" x14ac:dyDescent="0.2">
      <c r="I391" s="10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11"/>
    </row>
    <row r="392" spans="9:54" ht="15.75" customHeight="1" x14ac:dyDescent="0.2">
      <c r="I392" s="10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11"/>
    </row>
    <row r="393" spans="9:54" ht="15.75" customHeight="1" x14ac:dyDescent="0.2">
      <c r="I393" s="10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11"/>
    </row>
    <row r="394" spans="9:54" ht="15.75" customHeight="1" x14ac:dyDescent="0.2">
      <c r="I394" s="10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11"/>
    </row>
    <row r="395" spans="9:54" ht="15.75" customHeight="1" x14ac:dyDescent="0.2">
      <c r="I395" s="10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11"/>
    </row>
    <row r="396" spans="9:54" ht="15.75" customHeight="1" x14ac:dyDescent="0.2">
      <c r="I396" s="10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11"/>
    </row>
    <row r="397" spans="9:54" ht="15.75" customHeight="1" x14ac:dyDescent="0.2">
      <c r="I397" s="10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11"/>
    </row>
    <row r="398" spans="9:54" ht="15.75" customHeight="1" x14ac:dyDescent="0.2">
      <c r="I398" s="10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11"/>
    </row>
    <row r="399" spans="9:54" ht="15.75" customHeight="1" x14ac:dyDescent="0.2">
      <c r="I399" s="10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11"/>
    </row>
    <row r="400" spans="9:54" ht="15.75" customHeight="1" x14ac:dyDescent="0.2">
      <c r="I400" s="10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11"/>
    </row>
    <row r="401" spans="9:54" ht="15.75" customHeight="1" x14ac:dyDescent="0.2">
      <c r="I401" s="10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11"/>
    </row>
    <row r="402" spans="9:54" ht="15.75" customHeight="1" x14ac:dyDescent="0.2">
      <c r="I402" s="10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11"/>
    </row>
    <row r="403" spans="9:54" ht="15.75" customHeight="1" x14ac:dyDescent="0.2">
      <c r="I403" s="10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11"/>
    </row>
    <row r="404" spans="9:54" ht="15.75" customHeight="1" x14ac:dyDescent="0.2">
      <c r="I404" s="10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11"/>
    </row>
    <row r="405" spans="9:54" ht="15.75" customHeight="1" x14ac:dyDescent="0.2">
      <c r="I405" s="10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11"/>
    </row>
    <row r="406" spans="9:54" ht="15.75" customHeight="1" x14ac:dyDescent="0.2">
      <c r="I406" s="10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11"/>
    </row>
    <row r="407" spans="9:54" ht="15.75" customHeight="1" x14ac:dyDescent="0.2">
      <c r="I407" s="10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11"/>
    </row>
    <row r="408" spans="9:54" ht="15.75" customHeight="1" x14ac:dyDescent="0.2">
      <c r="I408" s="10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11"/>
    </row>
    <row r="409" spans="9:54" ht="15.75" customHeight="1" x14ac:dyDescent="0.2">
      <c r="I409" s="10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11"/>
    </row>
    <row r="410" spans="9:54" ht="15.75" customHeight="1" x14ac:dyDescent="0.2">
      <c r="I410" s="10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11"/>
    </row>
    <row r="411" spans="9:54" ht="15.75" customHeight="1" x14ac:dyDescent="0.2">
      <c r="I411" s="10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11"/>
    </row>
    <row r="412" spans="9:54" ht="15.75" customHeight="1" x14ac:dyDescent="0.2">
      <c r="I412" s="10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11"/>
    </row>
    <row r="413" spans="9:54" ht="15.75" customHeight="1" x14ac:dyDescent="0.2">
      <c r="I413" s="10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11"/>
    </row>
    <row r="414" spans="9:54" ht="15.75" customHeight="1" x14ac:dyDescent="0.2">
      <c r="I414" s="10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11"/>
    </row>
    <row r="415" spans="9:54" ht="15.75" customHeight="1" x14ac:dyDescent="0.2">
      <c r="I415" s="10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11"/>
    </row>
    <row r="416" spans="9:54" ht="15.75" customHeight="1" x14ac:dyDescent="0.2">
      <c r="I416" s="10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11"/>
    </row>
    <row r="417" spans="9:54" ht="15.75" customHeight="1" x14ac:dyDescent="0.2">
      <c r="I417" s="10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11"/>
    </row>
    <row r="418" spans="9:54" ht="15.75" customHeight="1" x14ac:dyDescent="0.2">
      <c r="I418" s="10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11"/>
    </row>
    <row r="419" spans="9:54" ht="15.75" customHeight="1" x14ac:dyDescent="0.2">
      <c r="I419" s="10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11"/>
    </row>
    <row r="420" spans="9:54" ht="15.75" customHeight="1" x14ac:dyDescent="0.2">
      <c r="I420" s="10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11"/>
    </row>
    <row r="421" spans="9:54" ht="15.75" customHeight="1" x14ac:dyDescent="0.2">
      <c r="I421" s="10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11"/>
    </row>
    <row r="422" spans="9:54" ht="15.75" customHeight="1" x14ac:dyDescent="0.2">
      <c r="I422" s="10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11"/>
    </row>
    <row r="423" spans="9:54" ht="15.75" customHeight="1" x14ac:dyDescent="0.2">
      <c r="I423" s="10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11"/>
    </row>
    <row r="424" spans="9:54" ht="15.75" customHeight="1" x14ac:dyDescent="0.2">
      <c r="I424" s="10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11"/>
    </row>
    <row r="425" spans="9:54" ht="15.75" customHeight="1" x14ac:dyDescent="0.2">
      <c r="I425" s="10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11"/>
    </row>
    <row r="426" spans="9:54" ht="15.75" customHeight="1" x14ac:dyDescent="0.2">
      <c r="I426" s="10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11"/>
    </row>
    <row r="427" spans="9:54" ht="15.75" customHeight="1" x14ac:dyDescent="0.2">
      <c r="I427" s="10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11"/>
    </row>
    <row r="428" spans="9:54" ht="15.75" customHeight="1" x14ac:dyDescent="0.2">
      <c r="I428" s="10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11"/>
    </row>
    <row r="429" spans="9:54" ht="15.75" customHeight="1" x14ac:dyDescent="0.2">
      <c r="I429" s="10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11"/>
    </row>
    <row r="430" spans="9:54" ht="15.75" customHeight="1" x14ac:dyDescent="0.2">
      <c r="I430" s="10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11"/>
    </row>
    <row r="431" spans="9:54" ht="15.75" customHeight="1" x14ac:dyDescent="0.2">
      <c r="I431" s="10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11"/>
    </row>
    <row r="432" spans="9:54" ht="15.75" customHeight="1" x14ac:dyDescent="0.2">
      <c r="I432" s="10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11"/>
    </row>
    <row r="433" spans="9:54" ht="15.75" customHeight="1" x14ac:dyDescent="0.2">
      <c r="I433" s="10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11"/>
    </row>
    <row r="434" spans="9:54" ht="15.75" customHeight="1" x14ac:dyDescent="0.2">
      <c r="I434" s="10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11"/>
    </row>
    <row r="435" spans="9:54" ht="15.75" customHeight="1" x14ac:dyDescent="0.2">
      <c r="I435" s="10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11"/>
    </row>
    <row r="436" spans="9:54" ht="15.75" customHeight="1" x14ac:dyDescent="0.2">
      <c r="I436" s="10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11"/>
    </row>
    <row r="437" spans="9:54" ht="15.75" customHeight="1" x14ac:dyDescent="0.2">
      <c r="I437" s="10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11"/>
    </row>
    <row r="438" spans="9:54" ht="15.75" customHeight="1" x14ac:dyDescent="0.2">
      <c r="I438" s="10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11"/>
    </row>
    <row r="439" spans="9:54" ht="15.75" customHeight="1" x14ac:dyDescent="0.2">
      <c r="I439" s="10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11"/>
    </row>
    <row r="440" spans="9:54" ht="15.75" customHeight="1" x14ac:dyDescent="0.2">
      <c r="I440" s="10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11"/>
    </row>
    <row r="441" spans="9:54" ht="15.75" customHeight="1" x14ac:dyDescent="0.2">
      <c r="I441" s="10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11"/>
    </row>
    <row r="442" spans="9:54" ht="15.75" customHeight="1" x14ac:dyDescent="0.2">
      <c r="I442" s="10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11"/>
    </row>
    <row r="443" spans="9:54" ht="15.75" customHeight="1" x14ac:dyDescent="0.2">
      <c r="I443" s="10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11"/>
    </row>
    <row r="444" spans="9:54" ht="15.75" customHeight="1" x14ac:dyDescent="0.2">
      <c r="I444" s="10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11"/>
    </row>
    <row r="445" spans="9:54" ht="15.75" customHeight="1" x14ac:dyDescent="0.2">
      <c r="I445" s="10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11"/>
    </row>
    <row r="446" spans="9:54" ht="15.75" customHeight="1" x14ac:dyDescent="0.2">
      <c r="I446" s="10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11"/>
    </row>
    <row r="447" spans="9:54" ht="15.75" customHeight="1" x14ac:dyDescent="0.2">
      <c r="I447" s="10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11"/>
    </row>
    <row r="448" spans="9:54" ht="15.75" customHeight="1" x14ac:dyDescent="0.2">
      <c r="I448" s="10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11"/>
    </row>
    <row r="449" spans="9:54" ht="15.75" customHeight="1" x14ac:dyDescent="0.2">
      <c r="I449" s="10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11"/>
    </row>
    <row r="450" spans="9:54" ht="15.75" customHeight="1" x14ac:dyDescent="0.2">
      <c r="I450" s="10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11"/>
    </row>
    <row r="451" spans="9:54" ht="15.75" customHeight="1" x14ac:dyDescent="0.2">
      <c r="I451" s="10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11"/>
    </row>
    <row r="452" spans="9:54" ht="15.75" customHeight="1" x14ac:dyDescent="0.2">
      <c r="I452" s="10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11"/>
    </row>
    <row r="453" spans="9:54" ht="15.75" customHeight="1" x14ac:dyDescent="0.2">
      <c r="I453" s="10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11"/>
    </row>
    <row r="454" spans="9:54" ht="15.75" customHeight="1" x14ac:dyDescent="0.2">
      <c r="I454" s="10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11"/>
    </row>
    <row r="455" spans="9:54" ht="15.75" customHeight="1" x14ac:dyDescent="0.2">
      <c r="I455" s="10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11"/>
    </row>
    <row r="456" spans="9:54" ht="15.75" customHeight="1" x14ac:dyDescent="0.2">
      <c r="I456" s="10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11"/>
    </row>
    <row r="457" spans="9:54" ht="15.75" customHeight="1" x14ac:dyDescent="0.2">
      <c r="I457" s="10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11"/>
    </row>
    <row r="458" spans="9:54" ht="15.75" customHeight="1" x14ac:dyDescent="0.2">
      <c r="I458" s="10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11"/>
    </row>
    <row r="459" spans="9:54" ht="15.75" customHeight="1" x14ac:dyDescent="0.2">
      <c r="I459" s="10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11"/>
    </row>
    <row r="460" spans="9:54" ht="15.75" customHeight="1" x14ac:dyDescent="0.2">
      <c r="I460" s="10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11"/>
    </row>
    <row r="461" spans="9:54" ht="15.75" customHeight="1" x14ac:dyDescent="0.2">
      <c r="I461" s="10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11"/>
    </row>
    <row r="462" spans="9:54" ht="15.75" customHeight="1" x14ac:dyDescent="0.2">
      <c r="I462" s="10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11"/>
    </row>
    <row r="463" spans="9:54" ht="15.75" customHeight="1" x14ac:dyDescent="0.2">
      <c r="I463" s="10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11"/>
    </row>
    <row r="464" spans="9:54" ht="15.75" customHeight="1" x14ac:dyDescent="0.2">
      <c r="I464" s="10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11"/>
    </row>
    <row r="465" spans="9:54" ht="15.75" customHeight="1" x14ac:dyDescent="0.2">
      <c r="I465" s="10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11"/>
    </row>
    <row r="466" spans="9:54" ht="15.75" customHeight="1" x14ac:dyDescent="0.2">
      <c r="I466" s="10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11"/>
    </row>
    <row r="467" spans="9:54" ht="15.75" customHeight="1" x14ac:dyDescent="0.2">
      <c r="I467" s="10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11"/>
    </row>
    <row r="468" spans="9:54" ht="15.75" customHeight="1" x14ac:dyDescent="0.2">
      <c r="I468" s="10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11"/>
    </row>
    <row r="469" spans="9:54" ht="15.75" customHeight="1" x14ac:dyDescent="0.2">
      <c r="I469" s="10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11"/>
    </row>
    <row r="470" spans="9:54" ht="15.75" customHeight="1" x14ac:dyDescent="0.2">
      <c r="I470" s="10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11"/>
    </row>
    <row r="471" spans="9:54" ht="15.75" customHeight="1" x14ac:dyDescent="0.2">
      <c r="I471" s="10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11"/>
    </row>
    <row r="472" spans="9:54" ht="15.75" customHeight="1" x14ac:dyDescent="0.2">
      <c r="I472" s="10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11"/>
    </row>
    <row r="473" spans="9:54" ht="15.75" customHeight="1" x14ac:dyDescent="0.2">
      <c r="I473" s="10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11"/>
    </row>
    <row r="474" spans="9:54" ht="15.75" customHeight="1" x14ac:dyDescent="0.2">
      <c r="I474" s="10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11"/>
    </row>
    <row r="475" spans="9:54" ht="15.75" customHeight="1" x14ac:dyDescent="0.2">
      <c r="I475" s="10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11"/>
    </row>
    <row r="476" spans="9:54" ht="15.75" customHeight="1" x14ac:dyDescent="0.2">
      <c r="I476" s="10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11"/>
    </row>
    <row r="477" spans="9:54" ht="15.75" customHeight="1" x14ac:dyDescent="0.2">
      <c r="I477" s="10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11"/>
    </row>
    <row r="478" spans="9:54" ht="15.75" customHeight="1" x14ac:dyDescent="0.2">
      <c r="I478" s="10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11"/>
    </row>
    <row r="479" spans="9:54" ht="15.75" customHeight="1" x14ac:dyDescent="0.2">
      <c r="I479" s="10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11"/>
    </row>
    <row r="480" spans="9:54" ht="15.75" customHeight="1" x14ac:dyDescent="0.2">
      <c r="I480" s="10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11"/>
    </row>
    <row r="481" spans="9:54" ht="15.75" customHeight="1" x14ac:dyDescent="0.2">
      <c r="I481" s="10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11"/>
    </row>
    <row r="482" spans="9:54" ht="15.75" customHeight="1" x14ac:dyDescent="0.2">
      <c r="I482" s="10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11"/>
    </row>
    <row r="483" spans="9:54" ht="15.75" customHeight="1" x14ac:dyDescent="0.2">
      <c r="I483" s="10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11"/>
    </row>
    <row r="484" spans="9:54" ht="15.75" customHeight="1" x14ac:dyDescent="0.2">
      <c r="I484" s="10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11"/>
    </row>
    <row r="485" spans="9:54" ht="15.75" customHeight="1" x14ac:dyDescent="0.2">
      <c r="I485" s="10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11"/>
    </row>
    <row r="486" spans="9:54" ht="15.75" customHeight="1" x14ac:dyDescent="0.2">
      <c r="I486" s="10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11"/>
    </row>
    <row r="487" spans="9:54" ht="15.75" customHeight="1" x14ac:dyDescent="0.2">
      <c r="I487" s="10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11"/>
    </row>
    <row r="488" spans="9:54" ht="15.75" customHeight="1" x14ac:dyDescent="0.2">
      <c r="I488" s="10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11"/>
    </row>
    <row r="489" spans="9:54" ht="15.75" customHeight="1" x14ac:dyDescent="0.2">
      <c r="I489" s="10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11"/>
    </row>
    <row r="490" spans="9:54" ht="15.75" customHeight="1" x14ac:dyDescent="0.2">
      <c r="I490" s="10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11"/>
    </row>
    <row r="491" spans="9:54" ht="15.75" customHeight="1" x14ac:dyDescent="0.2">
      <c r="I491" s="10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11"/>
    </row>
    <row r="492" spans="9:54" ht="15.75" customHeight="1" x14ac:dyDescent="0.2">
      <c r="I492" s="10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11"/>
    </row>
    <row r="493" spans="9:54" ht="15.75" customHeight="1" x14ac:dyDescent="0.2">
      <c r="I493" s="10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11"/>
    </row>
    <row r="494" spans="9:54" ht="15.75" customHeight="1" x14ac:dyDescent="0.2">
      <c r="I494" s="10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11"/>
    </row>
    <row r="495" spans="9:54" ht="15.75" customHeight="1" x14ac:dyDescent="0.2">
      <c r="I495" s="10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11"/>
    </row>
    <row r="496" spans="9:54" ht="15.75" customHeight="1" x14ac:dyDescent="0.2">
      <c r="I496" s="10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11"/>
    </row>
    <row r="497" spans="9:54" ht="15.75" customHeight="1" x14ac:dyDescent="0.2">
      <c r="I497" s="10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11"/>
    </row>
    <row r="498" spans="9:54" ht="15.75" customHeight="1" x14ac:dyDescent="0.2">
      <c r="I498" s="10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11"/>
    </row>
    <row r="499" spans="9:54" ht="15.75" customHeight="1" x14ac:dyDescent="0.2">
      <c r="I499" s="10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11"/>
    </row>
    <row r="500" spans="9:54" ht="15.75" customHeight="1" x14ac:dyDescent="0.2">
      <c r="I500" s="10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11"/>
    </row>
    <row r="501" spans="9:54" ht="15.75" customHeight="1" x14ac:dyDescent="0.2">
      <c r="I501" s="10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11"/>
    </row>
    <row r="502" spans="9:54" ht="15.75" customHeight="1" x14ac:dyDescent="0.2">
      <c r="I502" s="10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11"/>
    </row>
    <row r="503" spans="9:54" ht="15.75" customHeight="1" x14ac:dyDescent="0.2">
      <c r="I503" s="10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11"/>
    </row>
    <row r="504" spans="9:54" ht="15.75" customHeight="1" x14ac:dyDescent="0.2">
      <c r="I504" s="10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11"/>
    </row>
    <row r="505" spans="9:54" ht="15.75" customHeight="1" x14ac:dyDescent="0.2">
      <c r="I505" s="10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11"/>
    </row>
    <row r="506" spans="9:54" ht="15.75" customHeight="1" x14ac:dyDescent="0.2">
      <c r="I506" s="10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11"/>
    </row>
    <row r="507" spans="9:54" ht="15.75" customHeight="1" x14ac:dyDescent="0.2">
      <c r="I507" s="10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11"/>
    </row>
    <row r="508" spans="9:54" ht="15.75" customHeight="1" x14ac:dyDescent="0.2">
      <c r="I508" s="10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11"/>
    </row>
    <row r="509" spans="9:54" ht="15.75" customHeight="1" x14ac:dyDescent="0.2">
      <c r="I509" s="10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11"/>
    </row>
    <row r="510" spans="9:54" ht="15.75" customHeight="1" x14ac:dyDescent="0.2">
      <c r="I510" s="10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11"/>
    </row>
    <row r="511" spans="9:54" ht="15.75" customHeight="1" x14ac:dyDescent="0.2">
      <c r="I511" s="10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11"/>
    </row>
    <row r="512" spans="9:54" ht="15.75" customHeight="1" x14ac:dyDescent="0.2">
      <c r="I512" s="10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11"/>
    </row>
    <row r="513" spans="9:54" ht="15.75" customHeight="1" x14ac:dyDescent="0.2">
      <c r="I513" s="10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11"/>
    </row>
    <row r="514" spans="9:54" ht="15.75" customHeight="1" x14ac:dyDescent="0.2">
      <c r="I514" s="10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11"/>
    </row>
    <row r="515" spans="9:54" ht="15.75" customHeight="1" x14ac:dyDescent="0.2">
      <c r="I515" s="10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11"/>
    </row>
    <row r="516" spans="9:54" ht="15.75" customHeight="1" x14ac:dyDescent="0.2">
      <c r="I516" s="10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11"/>
    </row>
    <row r="517" spans="9:54" ht="15.75" customHeight="1" x14ac:dyDescent="0.2">
      <c r="I517" s="10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11"/>
    </row>
    <row r="518" spans="9:54" ht="15.75" customHeight="1" x14ac:dyDescent="0.2">
      <c r="I518" s="10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11"/>
    </row>
    <row r="519" spans="9:54" ht="15.75" customHeight="1" x14ac:dyDescent="0.2">
      <c r="I519" s="10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11"/>
    </row>
    <row r="520" spans="9:54" ht="15.75" customHeight="1" x14ac:dyDescent="0.2">
      <c r="I520" s="10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11"/>
    </row>
    <row r="521" spans="9:54" ht="15.75" customHeight="1" x14ac:dyDescent="0.2">
      <c r="I521" s="10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11"/>
    </row>
    <row r="522" spans="9:54" ht="15.75" customHeight="1" x14ac:dyDescent="0.2">
      <c r="I522" s="10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11"/>
    </row>
    <row r="523" spans="9:54" ht="15.75" customHeight="1" x14ac:dyDescent="0.2">
      <c r="I523" s="10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11"/>
    </row>
    <row r="524" spans="9:54" ht="15.75" customHeight="1" x14ac:dyDescent="0.2">
      <c r="I524" s="10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11"/>
    </row>
    <row r="525" spans="9:54" ht="15.75" customHeight="1" x14ac:dyDescent="0.2">
      <c r="I525" s="10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11"/>
    </row>
    <row r="526" spans="9:54" ht="15.75" customHeight="1" x14ac:dyDescent="0.2">
      <c r="I526" s="10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11"/>
    </row>
    <row r="527" spans="9:54" ht="15.75" customHeight="1" x14ac:dyDescent="0.2">
      <c r="I527" s="10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11"/>
    </row>
    <row r="528" spans="9:54" ht="15.75" customHeight="1" x14ac:dyDescent="0.2">
      <c r="I528" s="10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11"/>
    </row>
    <row r="529" spans="9:54" ht="15.75" customHeight="1" x14ac:dyDescent="0.2">
      <c r="I529" s="10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11"/>
    </row>
    <row r="530" spans="9:54" ht="15.75" customHeight="1" x14ac:dyDescent="0.2">
      <c r="I530" s="10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11"/>
    </row>
    <row r="531" spans="9:54" ht="15.75" customHeight="1" x14ac:dyDescent="0.2">
      <c r="I531" s="10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11"/>
    </row>
    <row r="532" spans="9:54" ht="15.75" customHeight="1" x14ac:dyDescent="0.2">
      <c r="I532" s="10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11"/>
    </row>
    <row r="533" spans="9:54" ht="15.75" customHeight="1" x14ac:dyDescent="0.2">
      <c r="I533" s="10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11"/>
    </row>
    <row r="534" spans="9:54" ht="15.75" customHeight="1" x14ac:dyDescent="0.2">
      <c r="I534" s="10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11"/>
    </row>
    <row r="535" spans="9:54" ht="15.75" customHeight="1" x14ac:dyDescent="0.2">
      <c r="I535" s="10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11"/>
    </row>
    <row r="536" spans="9:54" ht="15.75" customHeight="1" x14ac:dyDescent="0.2">
      <c r="I536" s="10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11"/>
    </row>
    <row r="537" spans="9:54" ht="15.75" customHeight="1" x14ac:dyDescent="0.2">
      <c r="I537" s="10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11"/>
    </row>
    <row r="538" spans="9:54" ht="15.75" customHeight="1" x14ac:dyDescent="0.2">
      <c r="I538" s="10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11"/>
    </row>
    <row r="539" spans="9:54" ht="15.75" customHeight="1" x14ac:dyDescent="0.2">
      <c r="I539" s="10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11"/>
    </row>
    <row r="540" spans="9:54" ht="15.75" customHeight="1" x14ac:dyDescent="0.2">
      <c r="I540" s="10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11"/>
    </row>
    <row r="541" spans="9:54" ht="15.75" customHeight="1" x14ac:dyDescent="0.2">
      <c r="I541" s="10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11"/>
    </row>
    <row r="542" spans="9:54" ht="15.75" customHeight="1" x14ac:dyDescent="0.2">
      <c r="I542" s="10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11"/>
    </row>
    <row r="543" spans="9:54" ht="15.75" customHeight="1" x14ac:dyDescent="0.2">
      <c r="I543" s="10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11"/>
    </row>
    <row r="544" spans="9:54" ht="15.75" customHeight="1" x14ac:dyDescent="0.2">
      <c r="I544" s="10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11"/>
    </row>
    <row r="545" spans="9:54" ht="15.75" customHeight="1" x14ac:dyDescent="0.2">
      <c r="I545" s="10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11"/>
    </row>
    <row r="546" spans="9:54" ht="15.75" customHeight="1" x14ac:dyDescent="0.2">
      <c r="I546" s="10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11"/>
    </row>
    <row r="547" spans="9:54" ht="15.75" customHeight="1" x14ac:dyDescent="0.2">
      <c r="I547" s="10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11"/>
    </row>
    <row r="548" spans="9:54" ht="15.75" customHeight="1" x14ac:dyDescent="0.2">
      <c r="I548" s="10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11"/>
    </row>
    <row r="549" spans="9:54" ht="15.75" customHeight="1" x14ac:dyDescent="0.2">
      <c r="I549" s="10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11"/>
    </row>
    <row r="550" spans="9:54" ht="15.75" customHeight="1" x14ac:dyDescent="0.2">
      <c r="I550" s="10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11"/>
    </row>
    <row r="551" spans="9:54" ht="15.75" customHeight="1" x14ac:dyDescent="0.2">
      <c r="I551" s="10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11"/>
    </row>
    <row r="552" spans="9:54" ht="15.75" customHeight="1" x14ac:dyDescent="0.2">
      <c r="I552" s="10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11"/>
    </row>
    <row r="553" spans="9:54" ht="15.75" customHeight="1" x14ac:dyDescent="0.2">
      <c r="I553" s="10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11"/>
    </row>
    <row r="554" spans="9:54" ht="15.75" customHeight="1" x14ac:dyDescent="0.2">
      <c r="I554" s="10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11"/>
    </row>
    <row r="555" spans="9:54" ht="15.75" customHeight="1" x14ac:dyDescent="0.2">
      <c r="I555" s="10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11"/>
    </row>
    <row r="556" spans="9:54" ht="15.75" customHeight="1" x14ac:dyDescent="0.2">
      <c r="I556" s="10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11"/>
    </row>
    <row r="557" spans="9:54" ht="15.75" customHeight="1" x14ac:dyDescent="0.2">
      <c r="I557" s="10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11"/>
    </row>
    <row r="558" spans="9:54" ht="15.75" customHeight="1" x14ac:dyDescent="0.2">
      <c r="I558" s="10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11"/>
    </row>
    <row r="559" spans="9:54" ht="15.75" customHeight="1" x14ac:dyDescent="0.2">
      <c r="I559" s="10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11"/>
    </row>
    <row r="560" spans="9:54" ht="15.75" customHeight="1" x14ac:dyDescent="0.2">
      <c r="I560" s="10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11"/>
    </row>
    <row r="561" spans="9:54" ht="15.75" customHeight="1" x14ac:dyDescent="0.2">
      <c r="I561" s="10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11"/>
    </row>
    <row r="562" spans="9:54" ht="15.75" customHeight="1" x14ac:dyDescent="0.2">
      <c r="I562" s="10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11"/>
    </row>
    <row r="563" spans="9:54" ht="15.75" customHeight="1" x14ac:dyDescent="0.2">
      <c r="I563" s="10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11"/>
    </row>
    <row r="564" spans="9:54" ht="15.75" customHeight="1" x14ac:dyDescent="0.2">
      <c r="I564" s="10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11"/>
    </row>
    <row r="565" spans="9:54" ht="15.75" customHeight="1" x14ac:dyDescent="0.2">
      <c r="I565" s="10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11"/>
    </row>
    <row r="566" spans="9:54" ht="15.75" customHeight="1" x14ac:dyDescent="0.2">
      <c r="I566" s="10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11"/>
    </row>
    <row r="567" spans="9:54" ht="15.75" customHeight="1" x14ac:dyDescent="0.2">
      <c r="I567" s="10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11"/>
    </row>
    <row r="568" spans="9:54" ht="15.75" customHeight="1" x14ac:dyDescent="0.2">
      <c r="I568" s="10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11"/>
    </row>
    <row r="569" spans="9:54" ht="15.75" customHeight="1" x14ac:dyDescent="0.2">
      <c r="I569" s="10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11"/>
    </row>
    <row r="570" spans="9:54" ht="15.75" customHeight="1" x14ac:dyDescent="0.2">
      <c r="I570" s="10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11"/>
    </row>
    <row r="571" spans="9:54" ht="15.75" customHeight="1" x14ac:dyDescent="0.2">
      <c r="I571" s="10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11"/>
    </row>
    <row r="572" spans="9:54" ht="15.75" customHeight="1" x14ac:dyDescent="0.2">
      <c r="I572" s="10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11"/>
    </row>
    <row r="573" spans="9:54" ht="15.75" customHeight="1" x14ac:dyDescent="0.2">
      <c r="I573" s="10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11"/>
    </row>
    <row r="574" spans="9:54" ht="15.75" customHeight="1" x14ac:dyDescent="0.2">
      <c r="I574" s="10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11"/>
    </row>
    <row r="575" spans="9:54" ht="15.75" customHeight="1" x14ac:dyDescent="0.2">
      <c r="I575" s="10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11"/>
    </row>
    <row r="576" spans="9:54" ht="15.75" customHeight="1" x14ac:dyDescent="0.2">
      <c r="I576" s="10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11"/>
    </row>
    <row r="577" spans="9:54" ht="15.75" customHeight="1" x14ac:dyDescent="0.2">
      <c r="I577" s="10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11"/>
    </row>
    <row r="578" spans="9:54" ht="15.75" customHeight="1" x14ac:dyDescent="0.2">
      <c r="I578" s="10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11"/>
    </row>
    <row r="579" spans="9:54" ht="15.75" customHeight="1" x14ac:dyDescent="0.2">
      <c r="I579" s="10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11"/>
    </row>
    <row r="580" spans="9:54" ht="15.75" customHeight="1" x14ac:dyDescent="0.2">
      <c r="I580" s="10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11"/>
    </row>
    <row r="581" spans="9:54" ht="15.75" customHeight="1" x14ac:dyDescent="0.2">
      <c r="I581" s="10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11"/>
    </row>
    <row r="582" spans="9:54" ht="15.75" customHeight="1" x14ac:dyDescent="0.2">
      <c r="I582" s="10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11"/>
    </row>
    <row r="583" spans="9:54" ht="15.75" customHeight="1" x14ac:dyDescent="0.2">
      <c r="I583" s="10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11"/>
    </row>
    <row r="584" spans="9:54" ht="15.75" customHeight="1" x14ac:dyDescent="0.2">
      <c r="I584" s="10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11"/>
    </row>
    <row r="585" spans="9:54" ht="15.75" customHeight="1" x14ac:dyDescent="0.2">
      <c r="I585" s="10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11"/>
    </row>
    <row r="586" spans="9:54" ht="15.75" customHeight="1" x14ac:dyDescent="0.2">
      <c r="I586" s="10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11"/>
    </row>
    <row r="587" spans="9:54" ht="15.75" customHeight="1" x14ac:dyDescent="0.2">
      <c r="I587" s="10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11"/>
    </row>
    <row r="588" spans="9:54" ht="15.75" customHeight="1" x14ac:dyDescent="0.2">
      <c r="I588" s="10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11"/>
    </row>
    <row r="589" spans="9:54" ht="15.75" customHeight="1" x14ac:dyDescent="0.2">
      <c r="I589" s="10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11"/>
    </row>
    <row r="590" spans="9:54" ht="15.75" customHeight="1" x14ac:dyDescent="0.2">
      <c r="I590" s="10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11"/>
    </row>
    <row r="591" spans="9:54" ht="15.75" customHeight="1" x14ac:dyDescent="0.2">
      <c r="I591" s="10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11"/>
    </row>
    <row r="592" spans="9:54" ht="15.75" customHeight="1" x14ac:dyDescent="0.2">
      <c r="I592" s="10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11"/>
    </row>
    <row r="593" spans="9:54" ht="15.75" customHeight="1" x14ac:dyDescent="0.2">
      <c r="I593" s="10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11"/>
    </row>
    <row r="594" spans="9:54" ht="15.75" customHeight="1" x14ac:dyDescent="0.2">
      <c r="I594" s="10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11"/>
    </row>
    <row r="595" spans="9:54" ht="15.75" customHeight="1" x14ac:dyDescent="0.2">
      <c r="I595" s="10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11"/>
    </row>
    <row r="596" spans="9:54" ht="15.75" customHeight="1" x14ac:dyDescent="0.2">
      <c r="I596" s="10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11"/>
    </row>
    <row r="597" spans="9:54" ht="15.75" customHeight="1" x14ac:dyDescent="0.2">
      <c r="I597" s="10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11"/>
    </row>
    <row r="598" spans="9:54" ht="15.75" customHeight="1" x14ac:dyDescent="0.2">
      <c r="I598" s="10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11"/>
    </row>
    <row r="599" spans="9:54" ht="15.75" customHeight="1" x14ac:dyDescent="0.2">
      <c r="I599" s="10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11"/>
    </row>
    <row r="600" spans="9:54" ht="15.75" customHeight="1" x14ac:dyDescent="0.2">
      <c r="I600" s="10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11"/>
    </row>
    <row r="601" spans="9:54" ht="15.75" customHeight="1" x14ac:dyDescent="0.2">
      <c r="I601" s="10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11"/>
    </row>
    <row r="602" spans="9:54" ht="15.75" customHeight="1" x14ac:dyDescent="0.2">
      <c r="I602" s="10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11"/>
    </row>
    <row r="603" spans="9:54" ht="15.75" customHeight="1" x14ac:dyDescent="0.2">
      <c r="I603" s="10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11"/>
    </row>
    <row r="604" spans="9:54" ht="15.75" customHeight="1" x14ac:dyDescent="0.2">
      <c r="I604" s="10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11"/>
    </row>
    <row r="605" spans="9:54" ht="15.75" customHeight="1" x14ac:dyDescent="0.2">
      <c r="I605" s="10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11"/>
    </row>
    <row r="606" spans="9:54" ht="15.75" customHeight="1" x14ac:dyDescent="0.2">
      <c r="I606" s="10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11"/>
    </row>
    <row r="607" spans="9:54" ht="15.75" customHeight="1" x14ac:dyDescent="0.2">
      <c r="I607" s="10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11"/>
    </row>
    <row r="608" spans="9:54" ht="15.75" customHeight="1" x14ac:dyDescent="0.2">
      <c r="I608" s="10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11"/>
    </row>
    <row r="609" spans="9:54" ht="15.75" customHeight="1" x14ac:dyDescent="0.2">
      <c r="I609" s="10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11"/>
    </row>
    <row r="610" spans="9:54" ht="15.75" customHeight="1" x14ac:dyDescent="0.2">
      <c r="I610" s="10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11"/>
    </row>
    <row r="611" spans="9:54" ht="15.75" customHeight="1" x14ac:dyDescent="0.2">
      <c r="I611" s="10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11"/>
    </row>
    <row r="612" spans="9:54" ht="15.75" customHeight="1" x14ac:dyDescent="0.2">
      <c r="I612" s="10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11"/>
    </row>
    <row r="613" spans="9:54" ht="15.75" customHeight="1" x14ac:dyDescent="0.2">
      <c r="I613" s="10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11"/>
    </row>
    <row r="614" spans="9:54" ht="15.75" customHeight="1" x14ac:dyDescent="0.2">
      <c r="I614" s="10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11"/>
    </row>
    <row r="615" spans="9:54" ht="15.75" customHeight="1" x14ac:dyDescent="0.2">
      <c r="I615" s="10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11"/>
    </row>
    <row r="616" spans="9:54" ht="15.75" customHeight="1" x14ac:dyDescent="0.2">
      <c r="I616" s="10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11"/>
    </row>
    <row r="617" spans="9:54" ht="15.75" customHeight="1" x14ac:dyDescent="0.2">
      <c r="I617" s="10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11"/>
    </row>
    <row r="618" spans="9:54" ht="15.75" customHeight="1" x14ac:dyDescent="0.2">
      <c r="I618" s="10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11"/>
    </row>
    <row r="619" spans="9:54" ht="15.75" customHeight="1" x14ac:dyDescent="0.2">
      <c r="I619" s="10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11"/>
    </row>
    <row r="620" spans="9:54" ht="15.75" customHeight="1" x14ac:dyDescent="0.2">
      <c r="I620" s="10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11"/>
    </row>
    <row r="621" spans="9:54" ht="15.75" customHeight="1" x14ac:dyDescent="0.2">
      <c r="I621" s="10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11"/>
    </row>
    <row r="622" spans="9:54" ht="15.75" customHeight="1" x14ac:dyDescent="0.2">
      <c r="I622" s="10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11"/>
    </row>
    <row r="623" spans="9:54" ht="15.75" customHeight="1" x14ac:dyDescent="0.2">
      <c r="I623" s="10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11"/>
    </row>
    <row r="624" spans="9:54" ht="15.75" customHeight="1" x14ac:dyDescent="0.2">
      <c r="I624" s="10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11"/>
    </row>
    <row r="625" spans="9:54" ht="15.75" customHeight="1" x14ac:dyDescent="0.2">
      <c r="I625" s="10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11"/>
    </row>
    <row r="626" spans="9:54" ht="15.75" customHeight="1" x14ac:dyDescent="0.2">
      <c r="I626" s="10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11"/>
    </row>
    <row r="627" spans="9:54" ht="15.75" customHeight="1" x14ac:dyDescent="0.2">
      <c r="I627" s="10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11"/>
    </row>
    <row r="628" spans="9:54" ht="15.75" customHeight="1" x14ac:dyDescent="0.2">
      <c r="I628" s="10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11"/>
    </row>
    <row r="629" spans="9:54" ht="15.75" customHeight="1" x14ac:dyDescent="0.2">
      <c r="I629" s="10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11"/>
    </row>
    <row r="630" spans="9:54" ht="15.75" customHeight="1" x14ac:dyDescent="0.2">
      <c r="I630" s="10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11"/>
    </row>
    <row r="631" spans="9:54" ht="15.75" customHeight="1" x14ac:dyDescent="0.2">
      <c r="I631" s="10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11"/>
    </row>
    <row r="632" spans="9:54" ht="15.75" customHeight="1" x14ac:dyDescent="0.2">
      <c r="I632" s="10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11"/>
    </row>
    <row r="633" spans="9:54" ht="15.75" customHeight="1" x14ac:dyDescent="0.2">
      <c r="I633" s="10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11"/>
    </row>
    <row r="634" spans="9:54" ht="15.75" customHeight="1" x14ac:dyDescent="0.2">
      <c r="I634" s="10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11"/>
    </row>
    <row r="635" spans="9:54" ht="15.75" customHeight="1" x14ac:dyDescent="0.2">
      <c r="I635" s="10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11"/>
    </row>
    <row r="636" spans="9:54" ht="15.75" customHeight="1" x14ac:dyDescent="0.2">
      <c r="I636" s="10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11"/>
    </row>
    <row r="637" spans="9:54" ht="15.75" customHeight="1" x14ac:dyDescent="0.2">
      <c r="I637" s="10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11"/>
    </row>
    <row r="638" spans="9:54" ht="15.75" customHeight="1" x14ac:dyDescent="0.2">
      <c r="I638" s="10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11"/>
    </row>
    <row r="639" spans="9:54" ht="15.75" customHeight="1" x14ac:dyDescent="0.2">
      <c r="I639" s="10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11"/>
    </row>
    <row r="640" spans="9:54" ht="15.75" customHeight="1" x14ac:dyDescent="0.2">
      <c r="I640" s="10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11"/>
    </row>
    <row r="641" spans="9:54" ht="15.75" customHeight="1" x14ac:dyDescent="0.2">
      <c r="I641" s="10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11"/>
    </row>
    <row r="642" spans="9:54" ht="15.75" customHeight="1" x14ac:dyDescent="0.2">
      <c r="I642" s="10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11"/>
    </row>
    <row r="643" spans="9:54" ht="15.75" customHeight="1" x14ac:dyDescent="0.2">
      <c r="I643" s="10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11"/>
    </row>
    <row r="644" spans="9:54" ht="15.75" customHeight="1" x14ac:dyDescent="0.2">
      <c r="I644" s="10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11"/>
    </row>
    <row r="645" spans="9:54" ht="15.75" customHeight="1" x14ac:dyDescent="0.2">
      <c r="I645" s="10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11"/>
    </row>
    <row r="646" spans="9:54" ht="15.75" customHeight="1" x14ac:dyDescent="0.2">
      <c r="I646" s="10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11"/>
    </row>
    <row r="647" spans="9:54" ht="15.75" customHeight="1" x14ac:dyDescent="0.2">
      <c r="I647" s="10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11"/>
    </row>
    <row r="648" spans="9:54" ht="15.75" customHeight="1" x14ac:dyDescent="0.2">
      <c r="I648" s="10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11"/>
    </row>
    <row r="649" spans="9:54" ht="15.75" customHeight="1" x14ac:dyDescent="0.2">
      <c r="I649" s="10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11"/>
    </row>
    <row r="650" spans="9:54" ht="15.75" customHeight="1" x14ac:dyDescent="0.2">
      <c r="I650" s="10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11"/>
    </row>
    <row r="651" spans="9:54" ht="15.75" customHeight="1" x14ac:dyDescent="0.2">
      <c r="I651" s="10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11"/>
    </row>
    <row r="652" spans="9:54" ht="15.75" customHeight="1" x14ac:dyDescent="0.2">
      <c r="I652" s="10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11"/>
    </row>
    <row r="653" spans="9:54" ht="15.75" customHeight="1" x14ac:dyDescent="0.2">
      <c r="I653" s="10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11"/>
    </row>
    <row r="654" spans="9:54" ht="15.75" customHeight="1" x14ac:dyDescent="0.2">
      <c r="I654" s="10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11"/>
    </row>
    <row r="655" spans="9:54" ht="15.75" customHeight="1" x14ac:dyDescent="0.2">
      <c r="I655" s="10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11"/>
    </row>
    <row r="656" spans="9:54" ht="15.75" customHeight="1" x14ac:dyDescent="0.2">
      <c r="I656" s="10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11"/>
    </row>
    <row r="657" spans="9:54" ht="15.75" customHeight="1" x14ac:dyDescent="0.2">
      <c r="I657" s="10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11"/>
    </row>
    <row r="658" spans="9:54" ht="15.75" customHeight="1" x14ac:dyDescent="0.2">
      <c r="I658" s="10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11"/>
    </row>
    <row r="659" spans="9:54" ht="15.75" customHeight="1" x14ac:dyDescent="0.2">
      <c r="I659" s="10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11"/>
    </row>
    <row r="660" spans="9:54" ht="15.75" customHeight="1" x14ac:dyDescent="0.2">
      <c r="I660" s="10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11"/>
    </row>
    <row r="661" spans="9:54" ht="15.75" customHeight="1" x14ac:dyDescent="0.2">
      <c r="I661" s="10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11"/>
    </row>
    <row r="662" spans="9:54" ht="15.75" customHeight="1" x14ac:dyDescent="0.2">
      <c r="I662" s="10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11"/>
    </row>
    <row r="663" spans="9:54" ht="15.75" customHeight="1" x14ac:dyDescent="0.2">
      <c r="I663" s="10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11"/>
    </row>
    <row r="664" spans="9:54" ht="15.75" customHeight="1" x14ac:dyDescent="0.2">
      <c r="I664" s="10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11"/>
    </row>
    <row r="665" spans="9:54" ht="15.75" customHeight="1" x14ac:dyDescent="0.2">
      <c r="I665" s="10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11"/>
    </row>
    <row r="666" spans="9:54" ht="15.75" customHeight="1" x14ac:dyDescent="0.2">
      <c r="I666" s="10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11"/>
    </row>
    <row r="667" spans="9:54" ht="15.75" customHeight="1" x14ac:dyDescent="0.2">
      <c r="I667" s="10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11"/>
    </row>
    <row r="668" spans="9:54" ht="15.75" customHeight="1" x14ac:dyDescent="0.2">
      <c r="I668" s="10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11"/>
    </row>
    <row r="669" spans="9:54" ht="15.75" customHeight="1" x14ac:dyDescent="0.2">
      <c r="I669" s="10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11"/>
    </row>
    <row r="670" spans="9:54" ht="15.75" customHeight="1" x14ac:dyDescent="0.2">
      <c r="I670" s="10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11"/>
    </row>
    <row r="671" spans="9:54" ht="15.75" customHeight="1" x14ac:dyDescent="0.2">
      <c r="I671" s="10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11"/>
    </row>
    <row r="672" spans="9:54" ht="15.75" customHeight="1" x14ac:dyDescent="0.2">
      <c r="I672" s="10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11"/>
    </row>
    <row r="673" spans="9:54" ht="15.75" customHeight="1" x14ac:dyDescent="0.2">
      <c r="I673" s="10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11"/>
    </row>
    <row r="674" spans="9:54" ht="15.75" customHeight="1" x14ac:dyDescent="0.2">
      <c r="I674" s="10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11"/>
    </row>
    <row r="675" spans="9:54" ht="15.75" customHeight="1" x14ac:dyDescent="0.2">
      <c r="I675" s="10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11"/>
    </row>
    <row r="676" spans="9:54" ht="15.75" customHeight="1" x14ac:dyDescent="0.2">
      <c r="I676" s="10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11"/>
    </row>
    <row r="677" spans="9:54" ht="15.75" customHeight="1" x14ac:dyDescent="0.2">
      <c r="I677" s="10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11"/>
    </row>
    <row r="678" spans="9:54" ht="15.75" customHeight="1" x14ac:dyDescent="0.2">
      <c r="I678" s="10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11"/>
    </row>
    <row r="679" spans="9:54" ht="15.75" customHeight="1" x14ac:dyDescent="0.2">
      <c r="I679" s="10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11"/>
    </row>
    <row r="680" spans="9:54" ht="15.75" customHeight="1" x14ac:dyDescent="0.2">
      <c r="I680" s="10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11"/>
    </row>
    <row r="681" spans="9:54" ht="15.75" customHeight="1" x14ac:dyDescent="0.2">
      <c r="I681" s="10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11"/>
    </row>
    <row r="682" spans="9:54" ht="15.75" customHeight="1" x14ac:dyDescent="0.2">
      <c r="I682" s="10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11"/>
    </row>
    <row r="683" spans="9:54" ht="15.75" customHeight="1" x14ac:dyDescent="0.2">
      <c r="I683" s="10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11"/>
    </row>
    <row r="684" spans="9:54" ht="15.75" customHeight="1" x14ac:dyDescent="0.2">
      <c r="I684" s="10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11"/>
    </row>
    <row r="685" spans="9:54" ht="15.75" customHeight="1" x14ac:dyDescent="0.2">
      <c r="I685" s="10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11"/>
    </row>
    <row r="686" spans="9:54" ht="15.75" customHeight="1" x14ac:dyDescent="0.2">
      <c r="I686" s="10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11"/>
    </row>
    <row r="687" spans="9:54" ht="15.75" customHeight="1" x14ac:dyDescent="0.2">
      <c r="I687" s="10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11"/>
    </row>
    <row r="688" spans="9:54" ht="15.75" customHeight="1" x14ac:dyDescent="0.2">
      <c r="I688" s="10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11"/>
    </row>
    <row r="689" spans="9:54" ht="15.75" customHeight="1" x14ac:dyDescent="0.2">
      <c r="I689" s="10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11"/>
    </row>
    <row r="690" spans="9:54" ht="15.75" customHeight="1" x14ac:dyDescent="0.2">
      <c r="I690" s="10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11"/>
    </row>
    <row r="691" spans="9:54" ht="15.75" customHeight="1" x14ac:dyDescent="0.2">
      <c r="I691" s="10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11"/>
    </row>
    <row r="692" spans="9:54" ht="15.75" customHeight="1" x14ac:dyDescent="0.2">
      <c r="I692" s="10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11"/>
    </row>
    <row r="693" spans="9:54" ht="15.75" customHeight="1" x14ac:dyDescent="0.2">
      <c r="I693" s="10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11"/>
    </row>
    <row r="694" spans="9:54" ht="15.75" customHeight="1" x14ac:dyDescent="0.2">
      <c r="I694" s="10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11"/>
    </row>
    <row r="695" spans="9:54" ht="15.75" customHeight="1" x14ac:dyDescent="0.2">
      <c r="I695" s="10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11"/>
    </row>
    <row r="696" spans="9:54" ht="15.75" customHeight="1" x14ac:dyDescent="0.2">
      <c r="I696" s="10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11"/>
    </row>
    <row r="697" spans="9:54" ht="15.75" customHeight="1" x14ac:dyDescent="0.2">
      <c r="I697" s="10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11"/>
    </row>
    <row r="698" spans="9:54" ht="15.75" customHeight="1" x14ac:dyDescent="0.2">
      <c r="I698" s="10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11"/>
    </row>
    <row r="699" spans="9:54" ht="15.75" customHeight="1" x14ac:dyDescent="0.2">
      <c r="I699" s="10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11"/>
    </row>
    <row r="700" spans="9:54" ht="15.75" customHeight="1" x14ac:dyDescent="0.2">
      <c r="I700" s="10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11"/>
    </row>
    <row r="701" spans="9:54" ht="15.75" customHeight="1" x14ac:dyDescent="0.2">
      <c r="I701" s="10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11"/>
    </row>
    <row r="702" spans="9:54" ht="15.75" customHeight="1" x14ac:dyDescent="0.2">
      <c r="I702" s="10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11"/>
    </row>
    <row r="703" spans="9:54" ht="15.75" customHeight="1" x14ac:dyDescent="0.2">
      <c r="I703" s="10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11"/>
    </row>
    <row r="704" spans="9:54" ht="15.75" customHeight="1" x14ac:dyDescent="0.2">
      <c r="I704" s="10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11"/>
    </row>
    <row r="705" spans="9:54" ht="15.75" customHeight="1" x14ac:dyDescent="0.2">
      <c r="I705" s="10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11"/>
    </row>
    <row r="706" spans="9:54" ht="15.75" customHeight="1" x14ac:dyDescent="0.2">
      <c r="I706" s="10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11"/>
    </row>
    <row r="707" spans="9:54" ht="15.75" customHeight="1" x14ac:dyDescent="0.2">
      <c r="I707" s="10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11"/>
    </row>
    <row r="708" spans="9:54" ht="15.75" customHeight="1" x14ac:dyDescent="0.2">
      <c r="I708" s="10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11"/>
    </row>
    <row r="709" spans="9:54" ht="15.75" customHeight="1" x14ac:dyDescent="0.2">
      <c r="I709" s="10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11"/>
    </row>
    <row r="710" spans="9:54" ht="15.75" customHeight="1" x14ac:dyDescent="0.2">
      <c r="I710" s="10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11"/>
    </row>
    <row r="711" spans="9:54" ht="15.75" customHeight="1" x14ac:dyDescent="0.2">
      <c r="I711" s="10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11"/>
    </row>
    <row r="712" spans="9:54" ht="15.75" customHeight="1" x14ac:dyDescent="0.2">
      <c r="I712" s="10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11"/>
    </row>
    <row r="713" spans="9:54" ht="15.75" customHeight="1" x14ac:dyDescent="0.2">
      <c r="I713" s="10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11"/>
    </row>
    <row r="714" spans="9:54" ht="15.75" customHeight="1" x14ac:dyDescent="0.2">
      <c r="I714" s="10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11"/>
    </row>
    <row r="715" spans="9:54" ht="15.75" customHeight="1" x14ac:dyDescent="0.2">
      <c r="I715" s="10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11"/>
    </row>
    <row r="716" spans="9:54" ht="15.75" customHeight="1" x14ac:dyDescent="0.2">
      <c r="I716" s="10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11"/>
    </row>
    <row r="717" spans="9:54" ht="15.75" customHeight="1" x14ac:dyDescent="0.2">
      <c r="I717" s="10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11"/>
    </row>
    <row r="718" spans="9:54" ht="15.75" customHeight="1" x14ac:dyDescent="0.2">
      <c r="I718" s="10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11"/>
    </row>
    <row r="719" spans="9:54" ht="15.75" customHeight="1" x14ac:dyDescent="0.2">
      <c r="I719" s="10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11"/>
    </row>
    <row r="720" spans="9:54" ht="15.75" customHeight="1" x14ac:dyDescent="0.2">
      <c r="I720" s="10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11"/>
    </row>
    <row r="721" spans="9:54" ht="15.75" customHeight="1" x14ac:dyDescent="0.2">
      <c r="I721" s="10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11"/>
    </row>
    <row r="722" spans="9:54" ht="15.75" customHeight="1" x14ac:dyDescent="0.2">
      <c r="I722" s="10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11"/>
    </row>
    <row r="723" spans="9:54" ht="15.75" customHeight="1" x14ac:dyDescent="0.2">
      <c r="I723" s="10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11"/>
    </row>
    <row r="724" spans="9:54" ht="15.75" customHeight="1" x14ac:dyDescent="0.2">
      <c r="I724" s="10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11"/>
    </row>
    <row r="725" spans="9:54" ht="15.75" customHeight="1" x14ac:dyDescent="0.2">
      <c r="I725" s="10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11"/>
    </row>
    <row r="726" spans="9:54" ht="15.75" customHeight="1" x14ac:dyDescent="0.2">
      <c r="I726" s="10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11"/>
    </row>
    <row r="727" spans="9:54" ht="15.75" customHeight="1" x14ac:dyDescent="0.2">
      <c r="I727" s="10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11"/>
    </row>
    <row r="728" spans="9:54" ht="15.75" customHeight="1" x14ac:dyDescent="0.2">
      <c r="I728" s="10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11"/>
    </row>
    <row r="729" spans="9:54" ht="15.75" customHeight="1" x14ac:dyDescent="0.2">
      <c r="I729" s="10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11"/>
    </row>
    <row r="730" spans="9:54" ht="15.75" customHeight="1" x14ac:dyDescent="0.2">
      <c r="I730" s="10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11"/>
    </row>
    <row r="731" spans="9:54" ht="15.75" customHeight="1" x14ac:dyDescent="0.2">
      <c r="I731" s="10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11"/>
    </row>
    <row r="732" spans="9:54" ht="15.75" customHeight="1" x14ac:dyDescent="0.2">
      <c r="I732" s="10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11"/>
    </row>
    <row r="733" spans="9:54" ht="15.75" customHeight="1" x14ac:dyDescent="0.2">
      <c r="I733" s="10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11"/>
    </row>
    <row r="734" spans="9:54" ht="15.75" customHeight="1" x14ac:dyDescent="0.2">
      <c r="I734" s="10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11"/>
    </row>
    <row r="735" spans="9:54" ht="15.75" customHeight="1" x14ac:dyDescent="0.2">
      <c r="I735" s="10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11"/>
    </row>
    <row r="736" spans="9:54" ht="15.75" customHeight="1" x14ac:dyDescent="0.2">
      <c r="I736" s="10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11"/>
    </row>
    <row r="737" spans="9:54" ht="15.75" customHeight="1" x14ac:dyDescent="0.2">
      <c r="I737" s="10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11"/>
    </row>
    <row r="738" spans="9:54" ht="15.75" customHeight="1" x14ac:dyDescent="0.2">
      <c r="I738" s="10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11"/>
    </row>
    <row r="739" spans="9:54" ht="15.75" customHeight="1" x14ac:dyDescent="0.2">
      <c r="I739" s="10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11"/>
    </row>
    <row r="740" spans="9:54" ht="15.75" customHeight="1" x14ac:dyDescent="0.2">
      <c r="I740" s="10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11"/>
    </row>
    <row r="741" spans="9:54" ht="15.75" customHeight="1" x14ac:dyDescent="0.2">
      <c r="I741" s="10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11"/>
    </row>
    <row r="742" spans="9:54" ht="15.75" customHeight="1" x14ac:dyDescent="0.2">
      <c r="I742" s="10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11"/>
    </row>
    <row r="743" spans="9:54" ht="15.75" customHeight="1" x14ac:dyDescent="0.2">
      <c r="I743" s="10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11"/>
    </row>
    <row r="744" spans="9:54" ht="15.75" customHeight="1" x14ac:dyDescent="0.2">
      <c r="I744" s="10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11"/>
    </row>
    <row r="745" spans="9:54" ht="15.75" customHeight="1" x14ac:dyDescent="0.2">
      <c r="I745" s="10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11"/>
    </row>
    <row r="746" spans="9:54" ht="15.75" customHeight="1" x14ac:dyDescent="0.2">
      <c r="I746" s="10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11"/>
    </row>
    <row r="747" spans="9:54" ht="15.75" customHeight="1" x14ac:dyDescent="0.2">
      <c r="I747" s="10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11"/>
    </row>
    <row r="748" spans="9:54" ht="15.75" customHeight="1" x14ac:dyDescent="0.2">
      <c r="I748" s="10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11"/>
    </row>
    <row r="749" spans="9:54" ht="15.75" customHeight="1" x14ac:dyDescent="0.2">
      <c r="I749" s="10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11"/>
    </row>
    <row r="750" spans="9:54" ht="15.75" customHeight="1" x14ac:dyDescent="0.2">
      <c r="I750" s="10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11"/>
    </row>
    <row r="751" spans="9:54" ht="15.75" customHeight="1" x14ac:dyDescent="0.2">
      <c r="I751" s="10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11"/>
    </row>
    <row r="752" spans="9:54" ht="15.75" customHeight="1" x14ac:dyDescent="0.2">
      <c r="I752" s="10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11"/>
    </row>
    <row r="753" spans="9:54" ht="15.75" customHeight="1" x14ac:dyDescent="0.2">
      <c r="I753" s="10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11"/>
    </row>
    <row r="754" spans="9:54" ht="15.75" customHeight="1" x14ac:dyDescent="0.2">
      <c r="I754" s="10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11"/>
    </row>
    <row r="755" spans="9:54" ht="15.75" customHeight="1" x14ac:dyDescent="0.2">
      <c r="I755" s="10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11"/>
    </row>
    <row r="756" spans="9:54" ht="15.75" customHeight="1" x14ac:dyDescent="0.2">
      <c r="I756" s="10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11"/>
    </row>
    <row r="757" spans="9:54" ht="15.75" customHeight="1" x14ac:dyDescent="0.2">
      <c r="I757" s="10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11"/>
    </row>
    <row r="758" spans="9:54" ht="15.75" customHeight="1" x14ac:dyDescent="0.2">
      <c r="I758" s="10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11"/>
    </row>
    <row r="759" spans="9:54" ht="15.75" customHeight="1" x14ac:dyDescent="0.2">
      <c r="I759" s="10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11"/>
    </row>
    <row r="760" spans="9:54" ht="15.75" customHeight="1" x14ac:dyDescent="0.2">
      <c r="I760" s="10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11"/>
    </row>
    <row r="761" spans="9:54" ht="15.75" customHeight="1" x14ac:dyDescent="0.2">
      <c r="I761" s="10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11"/>
    </row>
    <row r="762" spans="9:54" ht="15.75" customHeight="1" x14ac:dyDescent="0.2">
      <c r="I762" s="10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11"/>
    </row>
    <row r="763" spans="9:54" ht="15.75" customHeight="1" x14ac:dyDescent="0.2">
      <c r="I763" s="10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11"/>
    </row>
    <row r="764" spans="9:54" ht="15.75" customHeight="1" x14ac:dyDescent="0.2">
      <c r="I764" s="10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11"/>
    </row>
    <row r="765" spans="9:54" ht="15.75" customHeight="1" x14ac:dyDescent="0.2">
      <c r="I765" s="10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11"/>
    </row>
    <row r="766" spans="9:54" ht="15.75" customHeight="1" x14ac:dyDescent="0.2">
      <c r="I766" s="10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11"/>
    </row>
    <row r="767" spans="9:54" ht="15.75" customHeight="1" x14ac:dyDescent="0.2">
      <c r="I767" s="10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11"/>
    </row>
    <row r="768" spans="9:54" ht="15.75" customHeight="1" x14ac:dyDescent="0.2">
      <c r="I768" s="10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11"/>
    </row>
    <row r="769" spans="9:54" ht="15.75" customHeight="1" x14ac:dyDescent="0.2">
      <c r="I769" s="10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11"/>
    </row>
    <row r="770" spans="9:54" ht="15.75" customHeight="1" x14ac:dyDescent="0.2">
      <c r="I770" s="10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11"/>
    </row>
    <row r="771" spans="9:54" ht="15.75" customHeight="1" x14ac:dyDescent="0.2">
      <c r="I771" s="10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11"/>
    </row>
    <row r="772" spans="9:54" ht="15.75" customHeight="1" x14ac:dyDescent="0.2">
      <c r="I772" s="10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11"/>
    </row>
    <row r="773" spans="9:54" ht="15.75" customHeight="1" x14ac:dyDescent="0.2">
      <c r="I773" s="10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11"/>
    </row>
    <row r="774" spans="9:54" ht="15.75" customHeight="1" x14ac:dyDescent="0.2">
      <c r="I774" s="10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11"/>
    </row>
    <row r="775" spans="9:54" ht="15.75" customHeight="1" x14ac:dyDescent="0.2">
      <c r="I775" s="10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11"/>
    </row>
    <row r="776" spans="9:54" ht="15.75" customHeight="1" x14ac:dyDescent="0.2">
      <c r="I776" s="10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11"/>
    </row>
    <row r="777" spans="9:54" ht="15.75" customHeight="1" x14ac:dyDescent="0.2">
      <c r="I777" s="10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11"/>
    </row>
    <row r="778" spans="9:54" ht="15.75" customHeight="1" x14ac:dyDescent="0.2">
      <c r="I778" s="10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11"/>
    </row>
    <row r="779" spans="9:54" ht="15.75" customHeight="1" x14ac:dyDescent="0.2">
      <c r="I779" s="10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11"/>
    </row>
    <row r="780" spans="9:54" ht="15.75" customHeight="1" x14ac:dyDescent="0.2">
      <c r="I780" s="10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11"/>
    </row>
    <row r="781" spans="9:54" ht="15.75" customHeight="1" x14ac:dyDescent="0.2">
      <c r="I781" s="10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11"/>
    </row>
    <row r="782" spans="9:54" ht="15.75" customHeight="1" x14ac:dyDescent="0.2">
      <c r="I782" s="10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11"/>
    </row>
    <row r="783" spans="9:54" ht="15.75" customHeight="1" x14ac:dyDescent="0.2">
      <c r="I783" s="10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11"/>
    </row>
    <row r="784" spans="9:54" ht="15.75" customHeight="1" x14ac:dyDescent="0.2">
      <c r="I784" s="10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11"/>
    </row>
    <row r="785" spans="9:54" ht="15.75" customHeight="1" x14ac:dyDescent="0.2">
      <c r="I785" s="10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11"/>
    </row>
    <row r="786" spans="9:54" ht="15.75" customHeight="1" x14ac:dyDescent="0.2">
      <c r="I786" s="10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11"/>
    </row>
    <row r="787" spans="9:54" ht="15.75" customHeight="1" x14ac:dyDescent="0.2">
      <c r="I787" s="10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11"/>
    </row>
    <row r="788" spans="9:54" ht="15.75" customHeight="1" x14ac:dyDescent="0.2">
      <c r="I788" s="10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11"/>
    </row>
    <row r="789" spans="9:54" ht="15.75" customHeight="1" x14ac:dyDescent="0.2">
      <c r="I789" s="10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11"/>
    </row>
    <row r="790" spans="9:54" ht="15.75" customHeight="1" x14ac:dyDescent="0.2">
      <c r="I790" s="10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11"/>
    </row>
    <row r="791" spans="9:54" ht="15.75" customHeight="1" x14ac:dyDescent="0.2">
      <c r="I791" s="10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11"/>
    </row>
    <row r="792" spans="9:54" ht="15.75" customHeight="1" x14ac:dyDescent="0.2">
      <c r="I792" s="10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11"/>
    </row>
    <row r="793" spans="9:54" ht="15.75" customHeight="1" x14ac:dyDescent="0.2">
      <c r="I793" s="10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11"/>
    </row>
    <row r="794" spans="9:54" ht="15.75" customHeight="1" x14ac:dyDescent="0.2">
      <c r="I794" s="10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11"/>
    </row>
    <row r="795" spans="9:54" ht="15.75" customHeight="1" x14ac:dyDescent="0.2">
      <c r="I795" s="10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11"/>
    </row>
    <row r="796" spans="9:54" ht="15.75" customHeight="1" x14ac:dyDescent="0.2">
      <c r="I796" s="10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11"/>
    </row>
    <row r="797" spans="9:54" ht="15.75" customHeight="1" x14ac:dyDescent="0.2">
      <c r="I797" s="10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11"/>
    </row>
    <row r="798" spans="9:54" ht="15.75" customHeight="1" x14ac:dyDescent="0.2">
      <c r="I798" s="10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11"/>
    </row>
    <row r="799" spans="9:54" ht="15.75" customHeight="1" x14ac:dyDescent="0.2">
      <c r="I799" s="10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11"/>
    </row>
    <row r="800" spans="9:54" ht="15.75" customHeight="1" x14ac:dyDescent="0.2">
      <c r="I800" s="10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11"/>
    </row>
    <row r="801" spans="9:54" ht="15.75" customHeight="1" x14ac:dyDescent="0.2">
      <c r="I801" s="10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11"/>
    </row>
    <row r="802" spans="9:54" ht="15.75" customHeight="1" x14ac:dyDescent="0.2">
      <c r="I802" s="10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11"/>
    </row>
    <row r="803" spans="9:54" ht="15.75" customHeight="1" x14ac:dyDescent="0.2">
      <c r="I803" s="10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11"/>
    </row>
    <row r="804" spans="9:54" ht="15.75" customHeight="1" x14ac:dyDescent="0.2">
      <c r="I804" s="10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11"/>
    </row>
    <row r="805" spans="9:54" ht="15.75" customHeight="1" x14ac:dyDescent="0.2">
      <c r="I805" s="10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11"/>
    </row>
    <row r="806" spans="9:54" ht="15.75" customHeight="1" x14ac:dyDescent="0.2">
      <c r="I806" s="10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11"/>
    </row>
    <row r="807" spans="9:54" ht="15.75" customHeight="1" x14ac:dyDescent="0.2">
      <c r="I807" s="10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11"/>
    </row>
    <row r="808" spans="9:54" ht="15.75" customHeight="1" x14ac:dyDescent="0.2">
      <c r="I808" s="10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11"/>
    </row>
    <row r="809" spans="9:54" ht="15.75" customHeight="1" x14ac:dyDescent="0.2">
      <c r="I809" s="10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11"/>
    </row>
    <row r="810" spans="9:54" ht="15.75" customHeight="1" x14ac:dyDescent="0.2">
      <c r="I810" s="10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11"/>
    </row>
    <row r="811" spans="9:54" ht="15.75" customHeight="1" x14ac:dyDescent="0.2">
      <c r="I811" s="10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11"/>
    </row>
    <row r="812" spans="9:54" ht="15.75" customHeight="1" x14ac:dyDescent="0.2">
      <c r="I812" s="10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11"/>
    </row>
    <row r="813" spans="9:54" ht="15.75" customHeight="1" x14ac:dyDescent="0.2">
      <c r="I813" s="10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11"/>
    </row>
    <row r="814" spans="9:54" ht="15.75" customHeight="1" x14ac:dyDescent="0.2">
      <c r="I814" s="10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11"/>
    </row>
    <row r="815" spans="9:54" ht="15.75" customHeight="1" x14ac:dyDescent="0.2">
      <c r="I815" s="10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11"/>
    </row>
    <row r="816" spans="9:54" ht="15.75" customHeight="1" x14ac:dyDescent="0.2">
      <c r="I816" s="10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11"/>
    </row>
    <row r="817" spans="9:54" ht="15.75" customHeight="1" x14ac:dyDescent="0.2">
      <c r="I817" s="10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11"/>
    </row>
    <row r="818" spans="9:54" ht="15.75" customHeight="1" x14ac:dyDescent="0.2">
      <c r="I818" s="10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11"/>
    </row>
    <row r="819" spans="9:54" ht="15.75" customHeight="1" x14ac:dyDescent="0.2">
      <c r="I819" s="10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11"/>
    </row>
    <row r="820" spans="9:54" ht="15.75" customHeight="1" x14ac:dyDescent="0.2">
      <c r="I820" s="10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11"/>
    </row>
    <row r="821" spans="9:54" ht="15.75" customHeight="1" x14ac:dyDescent="0.2">
      <c r="I821" s="10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11"/>
    </row>
    <row r="822" spans="9:54" ht="15.75" customHeight="1" x14ac:dyDescent="0.2">
      <c r="I822" s="10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11"/>
    </row>
    <row r="823" spans="9:54" ht="15.75" customHeight="1" x14ac:dyDescent="0.2">
      <c r="I823" s="10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11"/>
    </row>
    <row r="824" spans="9:54" ht="15.75" customHeight="1" x14ac:dyDescent="0.2">
      <c r="I824" s="10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11"/>
    </row>
    <row r="825" spans="9:54" ht="15.75" customHeight="1" x14ac:dyDescent="0.2">
      <c r="I825" s="10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11"/>
    </row>
    <row r="826" spans="9:54" ht="15.75" customHeight="1" x14ac:dyDescent="0.2">
      <c r="I826" s="10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11"/>
    </row>
    <row r="827" spans="9:54" ht="15.75" customHeight="1" x14ac:dyDescent="0.2">
      <c r="I827" s="10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11"/>
    </row>
    <row r="828" spans="9:54" ht="15.75" customHeight="1" x14ac:dyDescent="0.2">
      <c r="I828" s="10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11"/>
    </row>
    <row r="829" spans="9:54" ht="15.75" customHeight="1" x14ac:dyDescent="0.2">
      <c r="I829" s="10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11"/>
    </row>
    <row r="830" spans="9:54" ht="15.75" customHeight="1" x14ac:dyDescent="0.2">
      <c r="I830" s="10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11"/>
    </row>
    <row r="831" spans="9:54" ht="15.75" customHeight="1" x14ac:dyDescent="0.2">
      <c r="I831" s="10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11"/>
    </row>
    <row r="832" spans="9:54" ht="15.75" customHeight="1" x14ac:dyDescent="0.2">
      <c r="I832" s="10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11"/>
    </row>
    <row r="833" spans="9:54" ht="15.75" customHeight="1" x14ac:dyDescent="0.2">
      <c r="I833" s="10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11"/>
    </row>
    <row r="834" spans="9:54" ht="15.75" customHeight="1" x14ac:dyDescent="0.2">
      <c r="I834" s="10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11"/>
    </row>
    <row r="835" spans="9:54" ht="15.75" customHeight="1" x14ac:dyDescent="0.2">
      <c r="I835" s="10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11"/>
    </row>
    <row r="836" spans="9:54" ht="15.75" customHeight="1" x14ac:dyDescent="0.2">
      <c r="I836" s="10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11"/>
    </row>
    <row r="837" spans="9:54" ht="15.75" customHeight="1" x14ac:dyDescent="0.2">
      <c r="I837" s="10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11"/>
    </row>
    <row r="838" spans="9:54" ht="15.75" customHeight="1" x14ac:dyDescent="0.2">
      <c r="I838" s="10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11"/>
    </row>
    <row r="839" spans="9:54" ht="15.75" customHeight="1" x14ac:dyDescent="0.2">
      <c r="I839" s="10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11"/>
    </row>
    <row r="840" spans="9:54" ht="15.75" customHeight="1" x14ac:dyDescent="0.2">
      <c r="I840" s="10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11"/>
    </row>
    <row r="841" spans="9:54" ht="15.75" customHeight="1" x14ac:dyDescent="0.2">
      <c r="I841" s="10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11"/>
    </row>
    <row r="842" spans="9:54" ht="15.75" customHeight="1" x14ac:dyDescent="0.2">
      <c r="I842" s="10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11"/>
    </row>
    <row r="843" spans="9:54" ht="15.75" customHeight="1" x14ac:dyDescent="0.2">
      <c r="I843" s="10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11"/>
    </row>
    <row r="844" spans="9:54" ht="15.75" customHeight="1" x14ac:dyDescent="0.2">
      <c r="I844" s="10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11"/>
    </row>
    <row r="845" spans="9:54" ht="15.75" customHeight="1" x14ac:dyDescent="0.2">
      <c r="I845" s="10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11"/>
    </row>
    <row r="846" spans="9:54" ht="15.75" customHeight="1" x14ac:dyDescent="0.2">
      <c r="I846" s="10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11"/>
    </row>
    <row r="847" spans="9:54" ht="15.75" customHeight="1" x14ac:dyDescent="0.2">
      <c r="I847" s="10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11"/>
    </row>
    <row r="848" spans="9:54" ht="15.75" customHeight="1" x14ac:dyDescent="0.2">
      <c r="I848" s="10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11"/>
    </row>
    <row r="849" spans="9:54" ht="15.75" customHeight="1" x14ac:dyDescent="0.2">
      <c r="I849" s="10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11"/>
    </row>
    <row r="850" spans="9:54" ht="15.75" customHeight="1" x14ac:dyDescent="0.2">
      <c r="I850" s="10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11"/>
    </row>
    <row r="851" spans="9:54" ht="15.75" customHeight="1" x14ac:dyDescent="0.2">
      <c r="I851" s="10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11"/>
    </row>
    <row r="852" spans="9:54" ht="15.75" customHeight="1" x14ac:dyDescent="0.2">
      <c r="I852" s="10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11"/>
    </row>
    <row r="853" spans="9:54" ht="15.75" customHeight="1" x14ac:dyDescent="0.2">
      <c r="I853" s="10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11"/>
    </row>
    <row r="854" spans="9:54" ht="15.75" customHeight="1" x14ac:dyDescent="0.2">
      <c r="I854" s="10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11"/>
    </row>
    <row r="855" spans="9:54" ht="15.75" customHeight="1" x14ac:dyDescent="0.2">
      <c r="I855" s="10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11"/>
    </row>
    <row r="856" spans="9:54" ht="15.75" customHeight="1" x14ac:dyDescent="0.2">
      <c r="I856" s="10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11"/>
    </row>
    <row r="857" spans="9:54" ht="15.75" customHeight="1" x14ac:dyDescent="0.2">
      <c r="I857" s="10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11"/>
    </row>
    <row r="858" spans="9:54" ht="15.75" customHeight="1" x14ac:dyDescent="0.2">
      <c r="I858" s="10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11"/>
    </row>
    <row r="859" spans="9:54" ht="15.75" customHeight="1" x14ac:dyDescent="0.2">
      <c r="I859" s="10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11"/>
    </row>
    <row r="860" spans="9:54" ht="15.75" customHeight="1" x14ac:dyDescent="0.2">
      <c r="I860" s="10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11"/>
    </row>
    <row r="861" spans="9:54" ht="15.75" customHeight="1" x14ac:dyDescent="0.2">
      <c r="I861" s="10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11"/>
    </row>
    <row r="862" spans="9:54" ht="15.75" customHeight="1" x14ac:dyDescent="0.2">
      <c r="I862" s="10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11"/>
    </row>
    <row r="863" spans="9:54" ht="15.75" customHeight="1" x14ac:dyDescent="0.2">
      <c r="I863" s="10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11"/>
    </row>
    <row r="864" spans="9:54" ht="15.75" customHeight="1" x14ac:dyDescent="0.2">
      <c r="I864" s="10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11"/>
    </row>
    <row r="865" spans="9:54" ht="15.75" customHeight="1" x14ac:dyDescent="0.2">
      <c r="I865" s="10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11"/>
    </row>
    <row r="866" spans="9:54" ht="15.75" customHeight="1" x14ac:dyDescent="0.2">
      <c r="I866" s="10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11"/>
    </row>
    <row r="867" spans="9:54" ht="15.75" customHeight="1" x14ac:dyDescent="0.2">
      <c r="I867" s="10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11"/>
    </row>
    <row r="868" spans="9:54" ht="15.75" customHeight="1" x14ac:dyDescent="0.2">
      <c r="I868" s="10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11"/>
    </row>
    <row r="869" spans="9:54" ht="15.75" customHeight="1" x14ac:dyDescent="0.2">
      <c r="I869" s="10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11"/>
    </row>
    <row r="870" spans="9:54" ht="15.75" customHeight="1" x14ac:dyDescent="0.2">
      <c r="I870" s="10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11"/>
    </row>
    <row r="871" spans="9:54" ht="15.75" customHeight="1" x14ac:dyDescent="0.2">
      <c r="I871" s="10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11"/>
    </row>
    <row r="872" spans="9:54" ht="15.75" customHeight="1" x14ac:dyDescent="0.2">
      <c r="I872" s="10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11"/>
    </row>
    <row r="873" spans="9:54" ht="15.75" customHeight="1" x14ac:dyDescent="0.2">
      <c r="I873" s="10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11"/>
    </row>
    <row r="874" spans="9:54" ht="15.75" customHeight="1" x14ac:dyDescent="0.2">
      <c r="I874" s="10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11"/>
    </row>
    <row r="875" spans="9:54" ht="15.75" customHeight="1" x14ac:dyDescent="0.2">
      <c r="I875" s="10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11"/>
    </row>
    <row r="876" spans="9:54" ht="15.75" customHeight="1" x14ac:dyDescent="0.2">
      <c r="I876" s="10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11"/>
    </row>
    <row r="877" spans="9:54" ht="15.75" customHeight="1" x14ac:dyDescent="0.2">
      <c r="I877" s="10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11"/>
    </row>
    <row r="878" spans="9:54" ht="15.75" customHeight="1" x14ac:dyDescent="0.2">
      <c r="I878" s="10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11"/>
    </row>
    <row r="879" spans="9:54" ht="15.75" customHeight="1" x14ac:dyDescent="0.2">
      <c r="I879" s="10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11"/>
    </row>
    <row r="880" spans="9:54" ht="15.75" customHeight="1" x14ac:dyDescent="0.2">
      <c r="I880" s="10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11"/>
    </row>
    <row r="881" spans="9:54" ht="15.75" customHeight="1" x14ac:dyDescent="0.2">
      <c r="I881" s="10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11"/>
    </row>
    <row r="882" spans="9:54" ht="15.75" customHeight="1" x14ac:dyDescent="0.2">
      <c r="I882" s="10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11"/>
    </row>
    <row r="883" spans="9:54" ht="15.75" customHeight="1" x14ac:dyDescent="0.2">
      <c r="I883" s="10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11"/>
    </row>
    <row r="884" spans="9:54" ht="15.75" customHeight="1" x14ac:dyDescent="0.2">
      <c r="I884" s="10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11"/>
    </row>
    <row r="885" spans="9:54" ht="15.75" customHeight="1" x14ac:dyDescent="0.2">
      <c r="I885" s="10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11"/>
    </row>
    <row r="886" spans="9:54" ht="15.75" customHeight="1" x14ac:dyDescent="0.2">
      <c r="I886" s="10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11"/>
    </row>
    <row r="887" spans="9:54" ht="15.75" customHeight="1" x14ac:dyDescent="0.2">
      <c r="I887" s="10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11"/>
    </row>
    <row r="888" spans="9:54" ht="15.75" customHeight="1" x14ac:dyDescent="0.2">
      <c r="I888" s="10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11"/>
    </row>
    <row r="889" spans="9:54" ht="15.75" customHeight="1" x14ac:dyDescent="0.2">
      <c r="I889" s="10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11"/>
    </row>
    <row r="890" spans="9:54" ht="15.75" customHeight="1" x14ac:dyDescent="0.2">
      <c r="I890" s="10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11"/>
    </row>
    <row r="891" spans="9:54" ht="15.75" customHeight="1" x14ac:dyDescent="0.2">
      <c r="I891" s="10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11"/>
    </row>
    <row r="892" spans="9:54" ht="15.75" customHeight="1" x14ac:dyDescent="0.2">
      <c r="I892" s="10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11"/>
    </row>
    <row r="893" spans="9:54" ht="15.75" customHeight="1" x14ac:dyDescent="0.2">
      <c r="I893" s="10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11"/>
    </row>
    <row r="894" spans="9:54" ht="15.75" customHeight="1" x14ac:dyDescent="0.2">
      <c r="I894" s="10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11"/>
    </row>
    <row r="895" spans="9:54" ht="15.75" customHeight="1" x14ac:dyDescent="0.2">
      <c r="I895" s="10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11"/>
    </row>
    <row r="896" spans="9:54" ht="15.75" customHeight="1" x14ac:dyDescent="0.2">
      <c r="I896" s="10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11"/>
    </row>
    <row r="897" spans="9:54" ht="15.75" customHeight="1" x14ac:dyDescent="0.2">
      <c r="I897" s="10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11"/>
    </row>
    <row r="898" spans="9:54" ht="15.75" customHeight="1" x14ac:dyDescent="0.2">
      <c r="I898" s="10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11"/>
    </row>
    <row r="899" spans="9:54" ht="15.75" customHeight="1" x14ac:dyDescent="0.2">
      <c r="I899" s="10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11"/>
    </row>
    <row r="900" spans="9:54" ht="15.75" customHeight="1" x14ac:dyDescent="0.2">
      <c r="I900" s="10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11"/>
    </row>
    <row r="901" spans="9:54" ht="15.75" customHeight="1" x14ac:dyDescent="0.2">
      <c r="I901" s="10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11"/>
    </row>
    <row r="902" spans="9:54" ht="15.75" customHeight="1" x14ac:dyDescent="0.2">
      <c r="I902" s="10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11"/>
    </row>
    <row r="903" spans="9:54" ht="15.75" customHeight="1" x14ac:dyDescent="0.2">
      <c r="I903" s="10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11"/>
    </row>
    <row r="904" spans="9:54" ht="15.75" customHeight="1" x14ac:dyDescent="0.2">
      <c r="I904" s="10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11"/>
    </row>
    <row r="905" spans="9:54" ht="15.75" customHeight="1" x14ac:dyDescent="0.2">
      <c r="I905" s="10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11"/>
    </row>
    <row r="906" spans="9:54" ht="15.75" customHeight="1" x14ac:dyDescent="0.2">
      <c r="I906" s="10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11"/>
    </row>
    <row r="907" spans="9:54" ht="15.75" customHeight="1" x14ac:dyDescent="0.2">
      <c r="I907" s="10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11"/>
    </row>
    <row r="908" spans="9:54" ht="15.75" customHeight="1" x14ac:dyDescent="0.2">
      <c r="I908" s="10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11"/>
    </row>
    <row r="909" spans="9:54" ht="15.75" customHeight="1" x14ac:dyDescent="0.2">
      <c r="I909" s="10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11"/>
    </row>
    <row r="910" spans="9:54" ht="15.75" customHeight="1" x14ac:dyDescent="0.2">
      <c r="I910" s="10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11"/>
    </row>
    <row r="911" spans="9:54" ht="15.75" customHeight="1" x14ac:dyDescent="0.2">
      <c r="I911" s="10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11"/>
    </row>
    <row r="912" spans="9:54" ht="15.75" customHeight="1" x14ac:dyDescent="0.2">
      <c r="I912" s="10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11"/>
    </row>
    <row r="913" spans="9:54" ht="15.75" customHeight="1" x14ac:dyDescent="0.2">
      <c r="I913" s="10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11"/>
    </row>
    <row r="914" spans="9:54" ht="15.75" customHeight="1" x14ac:dyDescent="0.2">
      <c r="I914" s="10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11"/>
    </row>
    <row r="915" spans="9:54" ht="15.75" customHeight="1" x14ac:dyDescent="0.2">
      <c r="I915" s="10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11"/>
    </row>
    <row r="916" spans="9:54" ht="15.75" customHeight="1" x14ac:dyDescent="0.2">
      <c r="I916" s="10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11"/>
    </row>
    <row r="917" spans="9:54" ht="15.75" customHeight="1" x14ac:dyDescent="0.2">
      <c r="I917" s="10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11"/>
    </row>
    <row r="918" spans="9:54" ht="15.75" customHeight="1" x14ac:dyDescent="0.2">
      <c r="I918" s="10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11"/>
    </row>
    <row r="919" spans="9:54" ht="15.75" customHeight="1" x14ac:dyDescent="0.2">
      <c r="I919" s="10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11"/>
    </row>
    <row r="920" spans="9:54" ht="15.75" customHeight="1" x14ac:dyDescent="0.2">
      <c r="I920" s="10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11"/>
    </row>
    <row r="921" spans="9:54" ht="15.75" customHeight="1" x14ac:dyDescent="0.2">
      <c r="I921" s="10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11"/>
    </row>
    <row r="922" spans="9:54" ht="15.75" customHeight="1" x14ac:dyDescent="0.2">
      <c r="I922" s="10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11"/>
    </row>
    <row r="923" spans="9:54" ht="15.75" customHeight="1" x14ac:dyDescent="0.2">
      <c r="I923" s="10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11"/>
    </row>
    <row r="924" spans="9:54" ht="15.75" customHeight="1" x14ac:dyDescent="0.2">
      <c r="I924" s="10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11"/>
    </row>
    <row r="925" spans="9:54" ht="15.75" customHeight="1" x14ac:dyDescent="0.2">
      <c r="I925" s="10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11"/>
    </row>
    <row r="926" spans="9:54" ht="15.75" customHeight="1" x14ac:dyDescent="0.2">
      <c r="I926" s="10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11"/>
    </row>
    <row r="927" spans="9:54" ht="15.75" customHeight="1" x14ac:dyDescent="0.2">
      <c r="I927" s="10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11"/>
    </row>
    <row r="928" spans="9:54" ht="15.75" customHeight="1" x14ac:dyDescent="0.2">
      <c r="I928" s="10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11"/>
    </row>
    <row r="929" spans="9:54" ht="15.75" customHeight="1" x14ac:dyDescent="0.2">
      <c r="I929" s="10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11"/>
    </row>
    <row r="930" spans="9:54" ht="15.75" customHeight="1" x14ac:dyDescent="0.2">
      <c r="I930" s="10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11"/>
    </row>
    <row r="931" spans="9:54" ht="15.75" customHeight="1" x14ac:dyDescent="0.2">
      <c r="I931" s="10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11"/>
    </row>
    <row r="932" spans="9:54" ht="15.75" customHeight="1" x14ac:dyDescent="0.2">
      <c r="I932" s="10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11"/>
    </row>
    <row r="933" spans="9:54" ht="15.75" customHeight="1" x14ac:dyDescent="0.2">
      <c r="I933" s="10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11"/>
    </row>
    <row r="934" spans="9:54" ht="15.75" customHeight="1" x14ac:dyDescent="0.2">
      <c r="I934" s="10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11"/>
    </row>
    <row r="935" spans="9:54" ht="15.75" customHeight="1" x14ac:dyDescent="0.2">
      <c r="I935" s="10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11"/>
    </row>
    <row r="936" spans="9:54" ht="15.75" customHeight="1" x14ac:dyDescent="0.2">
      <c r="I936" s="10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11"/>
    </row>
    <row r="937" spans="9:54" ht="15.75" customHeight="1" x14ac:dyDescent="0.2">
      <c r="I937" s="10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11"/>
    </row>
    <row r="938" spans="9:54" ht="15.75" customHeight="1" x14ac:dyDescent="0.2">
      <c r="I938" s="10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11"/>
    </row>
    <row r="939" spans="9:54" ht="15.75" customHeight="1" x14ac:dyDescent="0.2">
      <c r="I939" s="10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11"/>
    </row>
    <row r="940" spans="9:54" ht="15.75" customHeight="1" x14ac:dyDescent="0.2">
      <c r="I940" s="10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11"/>
    </row>
    <row r="941" spans="9:54" ht="15.75" customHeight="1" x14ac:dyDescent="0.2">
      <c r="I941" s="10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11"/>
    </row>
    <row r="942" spans="9:54" ht="15.75" customHeight="1" x14ac:dyDescent="0.2">
      <c r="I942" s="10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11"/>
    </row>
    <row r="943" spans="9:54" ht="15.75" customHeight="1" x14ac:dyDescent="0.2">
      <c r="I943" s="10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11"/>
    </row>
    <row r="944" spans="9:54" ht="15.75" customHeight="1" x14ac:dyDescent="0.2">
      <c r="I944" s="10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11"/>
    </row>
    <row r="945" spans="9:54" ht="15.75" customHeight="1" x14ac:dyDescent="0.2">
      <c r="I945" s="10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11"/>
    </row>
    <row r="946" spans="9:54" ht="15.75" customHeight="1" x14ac:dyDescent="0.2">
      <c r="I946" s="10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11"/>
    </row>
    <row r="947" spans="9:54" ht="15.75" customHeight="1" x14ac:dyDescent="0.2">
      <c r="I947" s="10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11"/>
    </row>
    <row r="948" spans="9:54" ht="15.75" customHeight="1" x14ac:dyDescent="0.2">
      <c r="I948" s="10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11"/>
    </row>
    <row r="949" spans="9:54" ht="15.75" customHeight="1" x14ac:dyDescent="0.2">
      <c r="I949" s="10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11"/>
    </row>
    <row r="950" spans="9:54" ht="15.75" customHeight="1" x14ac:dyDescent="0.2">
      <c r="I950" s="10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11"/>
    </row>
    <row r="951" spans="9:54" ht="15.75" customHeight="1" x14ac:dyDescent="0.2">
      <c r="I951" s="10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11"/>
    </row>
    <row r="952" spans="9:54" ht="15.75" customHeight="1" x14ac:dyDescent="0.2">
      <c r="I952" s="10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11"/>
    </row>
    <row r="953" spans="9:54" ht="15.75" customHeight="1" x14ac:dyDescent="0.2">
      <c r="I953" s="10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11"/>
    </row>
    <row r="954" spans="9:54" ht="15.75" customHeight="1" x14ac:dyDescent="0.2">
      <c r="I954" s="10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11"/>
    </row>
    <row r="955" spans="9:54" ht="15.75" customHeight="1" x14ac:dyDescent="0.2">
      <c r="I955" s="10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11"/>
    </row>
    <row r="956" spans="9:54" ht="15.75" customHeight="1" x14ac:dyDescent="0.2">
      <c r="I956" s="10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11"/>
    </row>
    <row r="957" spans="9:54" ht="15.75" customHeight="1" x14ac:dyDescent="0.2">
      <c r="I957" s="10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11"/>
    </row>
    <row r="958" spans="9:54" ht="15.75" customHeight="1" x14ac:dyDescent="0.2">
      <c r="I958" s="10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11"/>
    </row>
    <row r="959" spans="9:54" ht="15.75" customHeight="1" x14ac:dyDescent="0.2">
      <c r="I959" s="10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11"/>
    </row>
    <row r="960" spans="9:54" ht="15.75" customHeight="1" x14ac:dyDescent="0.2">
      <c r="I960" s="10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11"/>
    </row>
    <row r="961" spans="9:54" ht="15.75" customHeight="1" x14ac:dyDescent="0.2">
      <c r="I961" s="10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11"/>
    </row>
    <row r="962" spans="9:54" ht="15.75" customHeight="1" x14ac:dyDescent="0.2">
      <c r="I962" s="10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11"/>
    </row>
    <row r="963" spans="9:54" ht="15.75" customHeight="1" x14ac:dyDescent="0.2">
      <c r="I963" s="10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11"/>
    </row>
    <row r="964" spans="9:54" ht="15.75" customHeight="1" x14ac:dyDescent="0.2">
      <c r="I964" s="10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11"/>
    </row>
    <row r="965" spans="9:54" ht="15.75" customHeight="1" x14ac:dyDescent="0.2">
      <c r="I965" s="10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11"/>
    </row>
    <row r="966" spans="9:54" ht="15.75" customHeight="1" x14ac:dyDescent="0.2">
      <c r="I966" s="10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11"/>
    </row>
    <row r="967" spans="9:54" ht="15.75" customHeight="1" x14ac:dyDescent="0.2">
      <c r="I967" s="10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11"/>
    </row>
    <row r="968" spans="9:54" ht="15.75" customHeight="1" x14ac:dyDescent="0.2">
      <c r="I968" s="10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11"/>
    </row>
    <row r="969" spans="9:54" ht="15.75" customHeight="1" x14ac:dyDescent="0.2">
      <c r="I969" s="10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11"/>
    </row>
    <row r="970" spans="9:54" ht="15.75" customHeight="1" x14ac:dyDescent="0.2">
      <c r="I970" s="10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11"/>
    </row>
    <row r="971" spans="9:54" ht="15.75" customHeight="1" x14ac:dyDescent="0.2"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</row>
    <row r="972" spans="9:54" ht="15.75" customHeight="1" x14ac:dyDescent="0.2"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</row>
    <row r="973" spans="9:54" ht="15.75" customHeight="1" x14ac:dyDescent="0.2"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</row>
    <row r="974" spans="9:54" ht="15.75" customHeight="1" x14ac:dyDescent="0.2"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</row>
    <row r="975" spans="9:54" ht="15.75" customHeight="1" x14ac:dyDescent="0.2"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</row>
    <row r="976" spans="9:54" ht="15.75" customHeight="1" x14ac:dyDescent="0.2"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</row>
    <row r="977" spans="9:54" ht="15.75" customHeight="1" x14ac:dyDescent="0.2"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</row>
    <row r="978" spans="9:54" ht="15.75" customHeight="1" x14ac:dyDescent="0.2"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</row>
    <row r="979" spans="9:54" ht="15.75" customHeight="1" x14ac:dyDescent="0.2"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</row>
    <row r="980" spans="9:54" ht="15.75" customHeight="1" x14ac:dyDescent="0.2"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</row>
    <row r="981" spans="9:54" ht="15.75" customHeight="1" x14ac:dyDescent="0.2"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</row>
    <row r="982" spans="9:54" ht="15.75" customHeight="1" x14ac:dyDescent="0.2"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</row>
    <row r="983" spans="9:54" ht="15.75" customHeight="1" x14ac:dyDescent="0.2"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</row>
  </sheetData>
  <printOptions horizontalCentered="1" gridLines="1"/>
  <pageMargins left="0.25" right="0.25" top="0.75" bottom="0.75" header="0" footer="0"/>
  <pageSetup pageOrder="overThenDown" orientation="landscape" cellComments="atEnd"/>
  <colBreaks count="1" manualBreakCount="1">
    <brk id="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Tree inventory</vt:lpstr>
      <vt:lpstr>Tree_Sites</vt:lpstr>
      <vt:lpstr>AlAs DATA</vt:lpstr>
      <vt:lpstr>LFM DATA</vt:lpstr>
      <vt:lpstr>RWC DATA</vt:lpstr>
      <vt:lpstr>Ks DATA</vt:lpstr>
      <vt:lpstr>PV DATA</vt:lpstr>
      <vt:lpstr>218-221 WP + LWC</vt:lpstr>
      <vt:lpstr>228 WP + LWC</vt:lpstr>
      <vt:lpstr>33-34 WP + LWC</vt:lpstr>
      <vt:lpstr>38-311 WP + LWC</vt:lpstr>
      <vt:lpstr>315 WP + LWC</vt:lpstr>
      <vt:lpstr>325-327 WP + LWC</vt:lpstr>
      <vt:lpstr>330 WP + LWC</vt:lpstr>
      <vt:lpstr>44 WP + LWC</vt:lpstr>
      <vt:lpstr>46 WP + LWC</vt:lpstr>
      <vt:lpstr>411-412 WP + LWC</vt:lpstr>
      <vt:lpstr>413-414 WP + LWC</vt:lpstr>
      <vt:lpstr>425 WP + LWC</vt:lpstr>
      <vt:lpstr>427 WP + LWC</vt:lpstr>
      <vt:lpstr>54 WP + LWC</vt:lpstr>
      <vt:lpstr>59 WP + LWC</vt:lpstr>
      <vt:lpstr>523 WP + LWC</vt:lpstr>
      <vt:lpstr>525 WP + LWC</vt:lpstr>
      <vt:lpstr>719 WP + LWC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2021-11-23T16:30:44Z</dcterms:created>
  <dcterms:modified xsi:type="dcterms:W3CDTF">2022-08-28T23:42:27Z</dcterms:modified>
</cp:coreProperties>
</file>